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45" windowWidth="15600" windowHeight="10365"/>
  </bookViews>
  <sheets>
    <sheet name="รายละเอียดแผนปฏิบัติการ" sheetId="4" r:id="rId1"/>
    <sheet name="การติดตามผลการดำเนินงานแผน" sheetId="7" r:id="rId2"/>
    <sheet name="รายงานการดำเนินงาน" sheetId="5" r:id="rId3"/>
    <sheet name="สรุปไตรมาส_1_2_3" sheetId="6" r:id="rId4"/>
    <sheet name="รายละเอียดงบประมาณโครงการ" sheetId="1" r:id="rId5"/>
    <sheet name="สรุปโครงการแจ้งการเงิน" sheetId="2" r:id="rId6"/>
    <sheet name="Sheet3" sheetId="3" r:id="rId7"/>
  </sheets>
  <definedNames>
    <definedName name="_xlnm.Print_Titles" localSheetId="2">รายงานการดำเนินงาน!$3:$6</definedName>
    <definedName name="_xlnm.Print_Titles" localSheetId="4">รายละเอียดงบประมาณโครงการ!$3:$6</definedName>
    <definedName name="_xlnm.Print_Titles" localSheetId="0">รายละเอียดแผนปฏิบัติการ!$3:$6</definedName>
    <definedName name="_xlnm.Print_Titles" localSheetId="5">สรุปโครงการแจ้งการเงิน!$3:$6</definedName>
  </definedNames>
  <calcPr calcId="124519"/>
</workbook>
</file>

<file path=xl/calcChain.xml><?xml version="1.0" encoding="utf-8"?>
<calcChain xmlns="http://schemas.openxmlformats.org/spreadsheetml/2006/main">
  <c r="D62" i="4"/>
  <c r="D61"/>
  <c r="B61"/>
  <c r="D57"/>
  <c r="D54"/>
  <c r="D138"/>
  <c r="D131" s="1"/>
  <c r="D52"/>
  <c r="D44"/>
  <c r="D36" s="1"/>
  <c r="D34" s="1"/>
  <c r="D39" i="3" l="1"/>
  <c r="M235" i="2"/>
  <c r="M228"/>
  <c r="M227" s="1"/>
  <c r="M226" s="1"/>
  <c r="M222"/>
  <c r="M221"/>
  <c r="U196"/>
  <c r="T196" l="1"/>
  <c r="S196" l="1"/>
  <c r="V195" s="1"/>
  <c r="T195" s="1"/>
  <c r="S195" s="1"/>
  <c r="P195"/>
  <c r="O195" s="1"/>
  <c r="N195" s="1"/>
  <c r="M195" s="1"/>
  <c r="V194" s="1"/>
  <c r="T194"/>
  <c r="S194"/>
  <c r="P194"/>
  <c r="O194" s="1"/>
  <c r="N194"/>
  <c r="M194" s="1"/>
  <c r="V193" s="1"/>
  <c r="T193"/>
  <c r="S193"/>
  <c r="P193"/>
  <c r="O193" s="1"/>
  <c r="N193" s="1"/>
  <c r="M193"/>
  <c r="V192"/>
  <c r="T192" l="1"/>
  <c r="S192"/>
  <c r="P192"/>
  <c r="O192" s="1"/>
  <c r="N192" s="1"/>
  <c r="M192"/>
  <c r="W187"/>
  <c r="W186"/>
  <c r="M186" s="1"/>
  <c r="M185" s="1"/>
  <c r="Q175"/>
  <c r="Q174"/>
  <c r="Q170"/>
  <c r="Q168"/>
  <c r="Q167"/>
  <c r="M167" s="1"/>
  <c r="W166"/>
  <c r="S166"/>
  <c r="M166" s="1"/>
  <c r="M165"/>
  <c r="Q162"/>
  <c r="Q160"/>
  <c r="Q159"/>
  <c r="W157"/>
  <c r="S157" s="1"/>
  <c r="Q157"/>
  <c r="Q154"/>
  <c r="Q153"/>
  <c r="Q151"/>
  <c r="Q150"/>
  <c r="Q149"/>
  <c r="Q147"/>
  <c r="W146"/>
  <c r="S146" s="1"/>
  <c r="Q146"/>
  <c r="W145"/>
  <c r="S145"/>
  <c r="M145"/>
  <c r="W144"/>
  <c r="S144"/>
  <c r="M144"/>
  <c r="M143"/>
  <c r="W139"/>
  <c r="S139" s="1"/>
  <c r="Q139"/>
  <c r="W138"/>
  <c r="S138"/>
  <c r="M138"/>
  <c r="M137"/>
  <c r="W136"/>
  <c r="S136"/>
  <c r="M136"/>
  <c r="W135"/>
  <c r="S135"/>
  <c r="W134"/>
  <c r="S134"/>
  <c r="M134"/>
  <c r="M126"/>
  <c r="W118"/>
  <c r="S118"/>
  <c r="M118"/>
  <c r="M117"/>
  <c r="M110"/>
  <c r="M107"/>
  <c r="M106" s="1"/>
  <c r="M105"/>
  <c r="W104"/>
  <c r="S104"/>
  <c r="M104" s="1"/>
  <c r="W103"/>
  <c r="S103"/>
  <c r="M103" s="1"/>
  <c r="W102"/>
  <c r="S102"/>
  <c r="M102" s="1"/>
  <c r="W101"/>
  <c r="S101"/>
  <c r="M101" s="1"/>
  <c r="W100"/>
  <c r="S100"/>
  <c r="M100" s="1"/>
  <c r="W99"/>
  <c r="S99"/>
  <c r="M99"/>
  <c r="W98"/>
  <c r="S98"/>
  <c r="M98"/>
  <c r="W97"/>
  <c r="S97"/>
  <c r="M97"/>
  <c r="W96"/>
  <c r="S96"/>
  <c r="M96"/>
  <c r="W95"/>
  <c r="S95"/>
  <c r="M95"/>
  <c r="W94"/>
  <c r="S94"/>
  <c r="M94"/>
  <c r="W93"/>
  <c r="S93"/>
  <c r="M93"/>
  <c r="W92"/>
  <c r="S92"/>
  <c r="M92"/>
  <c r="W91"/>
  <c r="S91"/>
  <c r="M91"/>
  <c r="W90"/>
  <c r="S90"/>
  <c r="M90"/>
  <c r="W89"/>
  <c r="S89"/>
  <c r="M89"/>
  <c r="W88"/>
  <c r="S88"/>
  <c r="M88" s="1"/>
  <c r="W87"/>
  <c r="S87"/>
  <c r="M87" s="1"/>
  <c r="W86"/>
  <c r="S86"/>
  <c r="M86"/>
  <c r="W85"/>
  <c r="S85"/>
  <c r="M85" s="1"/>
  <c r="W84"/>
  <c r="S84"/>
  <c r="M84"/>
  <c r="W83"/>
  <c r="S83"/>
  <c r="M83"/>
  <c r="W82"/>
  <c r="S82"/>
  <c r="M82"/>
  <c r="W81"/>
  <c r="S81"/>
  <c r="M81"/>
  <c r="W80"/>
  <c r="S80"/>
  <c r="M80"/>
  <c r="F79" s="1"/>
  <c r="Q77"/>
  <c r="Q76"/>
  <c r="F76"/>
  <c r="Q75"/>
  <c r="F75"/>
  <c r="Q73"/>
  <c r="F73"/>
  <c r="Q72"/>
  <c r="F72"/>
  <c r="Q71"/>
  <c r="F71"/>
  <c r="Q70"/>
  <c r="F70"/>
  <c r="W69"/>
  <c r="S69"/>
  <c r="M69" s="1"/>
  <c r="W68"/>
  <c r="S68"/>
  <c r="M68"/>
  <c r="W67"/>
  <c r="S67"/>
  <c r="M67"/>
  <c r="W66"/>
  <c r="S66"/>
  <c r="M66"/>
  <c r="W65"/>
  <c r="S65"/>
  <c r="M65"/>
  <c r="S64"/>
  <c r="M64" s="1"/>
  <c r="S63"/>
  <c r="M63" s="1"/>
  <c r="S62"/>
  <c r="M62" s="1"/>
  <c r="W61"/>
  <c r="S61"/>
  <c r="M61"/>
  <c r="M60" s="1"/>
  <c r="Q57" s="1"/>
  <c r="M53" s="1"/>
  <c r="W51"/>
  <c r="S51"/>
  <c r="M51"/>
  <c r="W50"/>
  <c r="S50"/>
  <c r="M50" s="1"/>
  <c r="M49"/>
  <c r="S48"/>
  <c r="M48" s="1"/>
  <c r="S47"/>
  <c r="M47" s="1"/>
  <c r="S46"/>
  <c r="M46" s="1"/>
  <c r="S45"/>
  <c r="M45" s="1"/>
  <c r="S44"/>
  <c r="M44" s="1"/>
  <c r="M43"/>
  <c r="W42"/>
  <c r="S42" s="1"/>
  <c r="M42" s="1"/>
  <c r="M41" l="1"/>
  <c r="M40"/>
  <c r="S39"/>
  <c r="M39" s="1"/>
  <c r="S38"/>
  <c r="M38" s="1"/>
  <c r="S37"/>
  <c r="M37" s="1"/>
  <c r="W36"/>
  <c r="S36"/>
  <c r="M36"/>
  <c r="M35"/>
  <c r="M34"/>
  <c r="M33"/>
  <c r="Q31"/>
  <c r="Q26"/>
  <c r="M26" s="1"/>
  <c r="Q25" s="1"/>
  <c r="M25" l="1"/>
  <c r="S24"/>
  <c r="M24" s="1"/>
  <c r="W23"/>
  <c r="S23"/>
  <c r="M23" s="1"/>
  <c r="W22"/>
  <c r="S22"/>
  <c r="M22" s="1"/>
  <c r="W21"/>
  <c r="S21"/>
  <c r="M21"/>
  <c r="S20"/>
  <c r="M20" s="1"/>
  <c r="W19"/>
  <c r="S19"/>
  <c r="M19"/>
  <c r="W18"/>
  <c r="S18"/>
  <c r="M18" s="1"/>
  <c r="W17"/>
  <c r="S17"/>
  <c r="M17"/>
  <c r="W16"/>
  <c r="S16"/>
  <c r="M16" s="1"/>
  <c r="W15"/>
  <c r="S15"/>
  <c r="M15"/>
  <c r="W14"/>
  <c r="S14"/>
  <c r="M14" s="1"/>
  <c r="W13"/>
  <c r="S13"/>
  <c r="M13"/>
  <c r="M12" s="1"/>
  <c r="W11"/>
  <c r="S11" s="1"/>
  <c r="R11"/>
  <c r="M11" s="1"/>
  <c r="O10"/>
  <c r="M9" l="1"/>
  <c r="P8"/>
  <c r="O8"/>
  <c r="M8"/>
  <c r="M388" i="1"/>
  <c r="U385"/>
  <c r="T385"/>
  <c r="S385"/>
  <c r="V384" s="1"/>
  <c r="T384"/>
  <c r="S384"/>
  <c r="P384"/>
  <c r="O384" s="1"/>
  <c r="N384" s="1"/>
  <c r="M384" s="1"/>
  <c r="V383" s="1"/>
  <c r="T383"/>
  <c r="S383" s="1"/>
  <c r="P383"/>
  <c r="O383" s="1"/>
  <c r="N383" s="1"/>
  <c r="M383"/>
  <c r="V382" s="1"/>
  <c r="T382"/>
  <c r="S382"/>
  <c r="P382"/>
  <c r="O382"/>
  <c r="N382" s="1"/>
  <c r="M382"/>
  <c r="V381"/>
  <c r="T381" s="1"/>
  <c r="S381"/>
  <c r="P381"/>
  <c r="O381"/>
  <c r="N381" s="1"/>
  <c r="M381"/>
  <c r="W376"/>
  <c r="W375"/>
  <c r="M375"/>
  <c r="M374" s="1"/>
  <c r="M373" s="1"/>
  <c r="Q365"/>
  <c r="Q364"/>
  <c r="Q362" s="1"/>
  <c r="Q360"/>
  <c r="Q358"/>
  <c r="Q357" s="1"/>
  <c r="M357" s="1"/>
  <c r="W356"/>
  <c r="S356"/>
  <c r="M356"/>
  <c r="M355"/>
  <c r="Q352"/>
  <c r="Q350"/>
  <c r="Q349"/>
  <c r="W347"/>
  <c r="S347" s="1"/>
  <c r="Q347" s="1"/>
  <c r="Q344"/>
  <c r="Q343"/>
  <c r="Q341"/>
  <c r="Q340"/>
  <c r="Q339"/>
  <c r="Q337"/>
  <c r="W336"/>
  <c r="S336" s="1"/>
  <c r="Q336"/>
  <c r="W335"/>
  <c r="S335"/>
  <c r="M335"/>
  <c r="W334"/>
  <c r="S334"/>
  <c r="M334"/>
  <c r="M333"/>
  <c r="M332"/>
  <c r="W329"/>
  <c r="S329" s="1"/>
  <c r="Q329"/>
  <c r="W328"/>
  <c r="S328"/>
  <c r="M328"/>
  <c r="M327"/>
  <c r="W326"/>
  <c r="S326"/>
  <c r="M326"/>
  <c r="W325"/>
  <c r="S325"/>
  <c r="W324"/>
  <c r="S324"/>
  <c r="M324"/>
  <c r="M316"/>
  <c r="M315"/>
  <c r="W309"/>
  <c r="S309"/>
  <c r="M309"/>
  <c r="M308"/>
  <c r="M301"/>
  <c r="M300" s="1"/>
  <c r="M298"/>
  <c r="M297"/>
  <c r="M296"/>
  <c r="W294"/>
  <c r="S294" s="1"/>
  <c r="Q294"/>
  <c r="M294"/>
  <c r="W292"/>
  <c r="S292" s="1"/>
  <c r="Q292"/>
  <c r="M292" s="1"/>
  <c r="W290"/>
  <c r="S290" s="1"/>
  <c r="Q290"/>
  <c r="M290" s="1"/>
  <c r="W288"/>
  <c r="S288" s="1"/>
  <c r="Q288"/>
  <c r="M288" s="1"/>
  <c r="Q287"/>
  <c r="Q286"/>
  <c r="W285"/>
  <c r="S285" s="1"/>
  <c r="Q285"/>
  <c r="M285" s="1"/>
  <c r="Q284"/>
  <c r="W283"/>
  <c r="S283" s="1"/>
  <c r="Q283"/>
  <c r="M283"/>
  <c r="W281"/>
  <c r="S281" s="1"/>
  <c r="Q281"/>
  <c r="M281"/>
  <c r="Q280"/>
  <c r="Q279"/>
  <c r="Q277"/>
  <c r="W276"/>
  <c r="S276" s="1"/>
  <c r="Q276"/>
  <c r="M276" s="1"/>
  <c r="W274"/>
  <c r="S274" s="1"/>
  <c r="Q274"/>
  <c r="M274" s="1"/>
  <c r="Q272"/>
  <c r="F272"/>
  <c r="Q271"/>
  <c r="F271"/>
  <c r="W270"/>
  <c r="S270" s="1"/>
  <c r="Q270"/>
  <c r="M270" s="1"/>
  <c r="Q267"/>
  <c r="F267"/>
  <c r="Q266"/>
  <c r="F266"/>
  <c r="Q265"/>
  <c r="F265"/>
  <c r="W264"/>
  <c r="S264" s="1"/>
  <c r="Q264"/>
  <c r="M264" s="1"/>
  <c r="Q263"/>
  <c r="W262"/>
  <c r="S262" s="1"/>
  <c r="Q262"/>
  <c r="M262"/>
  <c r="Q260"/>
  <c r="Q259"/>
  <c r="Q258"/>
  <c r="Q257"/>
  <c r="W256"/>
  <c r="S256" s="1"/>
  <c r="Q256" s="1"/>
  <c r="M256"/>
  <c r="W254"/>
  <c r="S254" s="1"/>
  <c r="Q254"/>
  <c r="M254"/>
  <c r="Q253"/>
  <c r="Q252"/>
  <c r="W251"/>
  <c r="S251" s="1"/>
  <c r="Q251"/>
  <c r="M251" s="1"/>
  <c r="W249"/>
  <c r="S249" s="1"/>
  <c r="Q249"/>
  <c r="M249"/>
  <c r="Q248"/>
  <c r="Q247"/>
  <c r="W246"/>
  <c r="S246" s="1"/>
  <c r="Q246" s="1"/>
  <c r="M246"/>
  <c r="Q245"/>
  <c r="Q244"/>
  <c r="W243"/>
  <c r="S243" s="1"/>
  <c r="Q243"/>
  <c r="M243" s="1"/>
  <c r="Q242"/>
  <c r="Q241"/>
  <c r="Q240"/>
  <c r="W239"/>
  <c r="S239" s="1"/>
  <c r="Q239"/>
  <c r="M239" s="1"/>
  <c r="Q238"/>
  <c r="Q237"/>
  <c r="W236"/>
  <c r="S236" s="1"/>
  <c r="Q236"/>
  <c r="M236" s="1"/>
  <c r="Q235"/>
  <c r="Q234"/>
  <c r="W233"/>
  <c r="S233" s="1"/>
  <c r="Q233"/>
  <c r="M233" s="1"/>
  <c r="W231"/>
  <c r="S231" s="1"/>
  <c r="Q231"/>
  <c r="M231" s="1"/>
  <c r="W228"/>
  <c r="S228" s="1"/>
  <c r="Q228"/>
  <c r="M228" s="1"/>
  <c r="Q227"/>
  <c r="F227"/>
  <c r="Q226"/>
  <c r="F226"/>
  <c r="W225"/>
  <c r="S225" s="1"/>
  <c r="Q225"/>
  <c r="M225" s="1"/>
  <c r="F224"/>
  <c r="F223"/>
  <c r="W222"/>
  <c r="S222" s="1"/>
  <c r="Q222"/>
  <c r="M222" s="1"/>
  <c r="F221" s="1"/>
  <c r="Q219"/>
  <c r="Q218"/>
  <c r="F218"/>
  <c r="Q217"/>
  <c r="F217"/>
  <c r="Q215"/>
  <c r="F215"/>
  <c r="Q214"/>
  <c r="F214"/>
  <c r="Q213"/>
  <c r="F213"/>
  <c r="Q212"/>
  <c r="F212"/>
  <c r="W211"/>
  <c r="S211"/>
  <c r="F210"/>
  <c r="F209"/>
  <c r="Q206"/>
  <c r="F206"/>
  <c r="F205"/>
  <c r="F204"/>
  <c r="W203"/>
  <c r="S203" s="1"/>
  <c r="Q203" s="1"/>
  <c r="M203"/>
  <c r="W201"/>
  <c r="S201" s="1"/>
  <c r="P201"/>
  <c r="M201"/>
  <c r="Q200"/>
  <c r="F200"/>
  <c r="Q199"/>
  <c r="F199"/>
  <c r="W198"/>
  <c r="S198" s="1"/>
  <c r="Q198" s="1"/>
  <c r="M198"/>
  <c r="Q197"/>
  <c r="F197"/>
  <c r="Q196"/>
  <c r="F196"/>
  <c r="W195"/>
  <c r="S195" s="1"/>
  <c r="Q195" s="1"/>
  <c r="M195"/>
  <c r="Q194"/>
  <c r="F194"/>
  <c r="Q193"/>
  <c r="F193"/>
  <c r="S192" s="1"/>
  <c r="Q192"/>
  <c r="M192" s="1"/>
  <c r="Q191"/>
  <c r="F191"/>
  <c r="Q190"/>
  <c r="F190"/>
  <c r="Q189"/>
  <c r="F189"/>
  <c r="Q188"/>
  <c r="F188"/>
  <c r="S187" s="1"/>
  <c r="Q187"/>
  <c r="M187" s="1"/>
  <c r="Q186"/>
  <c r="F186"/>
  <c r="Q185"/>
  <c r="F185"/>
  <c r="Q184"/>
  <c r="F184"/>
  <c r="S183" s="1"/>
  <c r="Q183" s="1"/>
  <c r="M183" s="1"/>
  <c r="Q182"/>
  <c r="F182"/>
  <c r="Q181"/>
  <c r="F181"/>
  <c r="W180"/>
  <c r="S180" s="1"/>
  <c r="Q180" s="1"/>
  <c r="M180"/>
  <c r="M179"/>
  <c r="Q176" s="1"/>
  <c r="M173" s="1"/>
  <c r="O172" s="1"/>
  <c r="M172" s="1"/>
  <c r="X149"/>
  <c r="W149" s="1"/>
  <c r="U149"/>
  <c r="T149"/>
  <c r="S149"/>
  <c r="R149"/>
  <c r="Q149"/>
  <c r="P149"/>
  <c r="O149"/>
  <c r="M149"/>
  <c r="W135"/>
  <c r="S135"/>
  <c r="R135"/>
  <c r="Q135"/>
  <c r="P135"/>
  <c r="N135"/>
  <c r="M135" s="1"/>
  <c r="M134"/>
  <c r="M133"/>
  <c r="Q131"/>
  <c r="S125"/>
  <c r="R125"/>
  <c r="Q125" s="1"/>
  <c r="M125" s="1"/>
  <c r="Q124"/>
  <c r="Q123"/>
  <c r="Q120"/>
  <c r="Q119"/>
  <c r="Q118"/>
  <c r="S117" s="1"/>
  <c r="Q117"/>
  <c r="P117" s="1"/>
  <c r="M117" s="1"/>
  <c r="S112"/>
  <c r="Q112"/>
  <c r="M112" s="1"/>
  <c r="Q109"/>
  <c r="Q107"/>
  <c r="Q106"/>
  <c r="Q105"/>
  <c r="Q104"/>
  <c r="S103" s="1"/>
  <c r="R103"/>
  <c r="Q103"/>
  <c r="P103"/>
  <c r="M103" s="1"/>
  <c r="Q101"/>
  <c r="Q100"/>
  <c r="S99" s="1"/>
  <c r="R99"/>
  <c r="Q99"/>
  <c r="M99" s="1"/>
  <c r="M98"/>
  <c r="W97"/>
  <c r="S97" s="1"/>
  <c r="M97" s="1"/>
  <c r="O96"/>
  <c r="M96" s="1"/>
  <c r="M95"/>
  <c r="S93"/>
  <c r="M93" s="1"/>
  <c r="S92"/>
  <c r="M92" s="1"/>
  <c r="Q90"/>
  <c r="Q89"/>
  <c r="Q87"/>
  <c r="Q85"/>
  <c r="Q84"/>
  <c r="S83"/>
  <c r="R83"/>
  <c r="Q83"/>
  <c r="P83" s="1"/>
  <c r="M83" s="1"/>
  <c r="Q81"/>
  <c r="Q80"/>
  <c r="Q79"/>
  <c r="Q78"/>
  <c r="W77"/>
  <c r="S77" s="1"/>
  <c r="Q77"/>
  <c r="M77" s="1"/>
  <c r="M76"/>
  <c r="M75"/>
  <c r="M74"/>
  <c r="Q73"/>
  <c r="Q68"/>
  <c r="M68"/>
  <c r="Q67"/>
  <c r="S66" s="1"/>
  <c r="Q66"/>
  <c r="M66" s="1"/>
  <c r="Q65"/>
  <c r="Q64"/>
  <c r="Q63"/>
  <c r="Q62"/>
  <c r="Q61"/>
  <c r="W60"/>
  <c r="S60"/>
  <c r="Q60" s="1"/>
  <c r="P60"/>
  <c r="M60" s="1"/>
  <c r="Q59"/>
  <c r="Q58"/>
  <c r="Q57"/>
  <c r="Q56"/>
  <c r="W55"/>
  <c r="S55" s="1"/>
  <c r="Q55" s="1"/>
  <c r="M55" s="1"/>
  <c r="W54"/>
  <c r="S54"/>
  <c r="M54"/>
  <c r="S52" s="1"/>
  <c r="Q52"/>
  <c r="M52" s="1"/>
  <c r="W49"/>
  <c r="S49" s="1"/>
  <c r="Q49"/>
  <c r="M49"/>
  <c r="Q47"/>
  <c r="Q45"/>
  <c r="Q44"/>
  <c r="Q43"/>
  <c r="W42"/>
  <c r="S42"/>
  <c r="Q42" s="1"/>
  <c r="P42" s="1"/>
  <c r="M42" s="1"/>
  <c r="Q41"/>
  <c r="Q40"/>
  <c r="W39"/>
  <c r="S39"/>
  <c r="Q39"/>
  <c r="M39"/>
  <c r="Q33"/>
  <c r="W32"/>
  <c r="T32"/>
  <c r="S32"/>
  <c r="R32"/>
  <c r="Q32"/>
  <c r="M32" s="1"/>
  <c r="Q31"/>
  <c r="Q30"/>
  <c r="Q29"/>
  <c r="Q28"/>
  <c r="Q27"/>
  <c r="W26"/>
  <c r="S26" s="1"/>
  <c r="R26"/>
  <c r="Q26"/>
  <c r="M26" s="1"/>
  <c r="Q23"/>
  <c r="Q22"/>
  <c r="Q21"/>
  <c r="Q20"/>
  <c r="Q18"/>
  <c r="W17"/>
  <c r="S17" s="1"/>
  <c r="Q17"/>
  <c r="M17" s="1"/>
  <c r="Q15"/>
  <c r="Q14"/>
  <c r="W13"/>
  <c r="S13"/>
  <c r="R13"/>
  <c r="Q13"/>
  <c r="M13" s="1"/>
  <c r="M12"/>
  <c r="W11"/>
  <c r="S11" s="1"/>
  <c r="R11" s="1"/>
  <c r="M11" s="1"/>
  <c r="O10"/>
  <c r="M10"/>
  <c r="M9"/>
  <c r="D27" i="6" l="1"/>
  <c r="F26"/>
  <c r="G19"/>
  <c r="F18" s="1"/>
  <c r="D18"/>
  <c r="F17" s="1"/>
  <c r="D17"/>
  <c r="G15" s="1"/>
  <c r="D15"/>
  <c r="G13" s="1"/>
  <c r="F13" s="1"/>
  <c r="G12" s="1"/>
  <c r="F12" s="1"/>
  <c r="E12" s="1"/>
  <c r="F11"/>
  <c r="E11"/>
  <c r="G10" s="1"/>
  <c r="F10" s="1"/>
  <c r="E10" s="1"/>
  <c r="G9" s="1"/>
  <c r="E9"/>
  <c r="D9"/>
  <c r="M276" i="5"/>
  <c r="M253"/>
  <c r="M252" s="1"/>
  <c r="M251" s="1"/>
  <c r="M245" l="1"/>
  <c r="M244"/>
  <c r="AA212"/>
  <c r="Z212"/>
  <c r="Y212"/>
  <c r="AB211" s="1"/>
  <c r="Z211" s="1"/>
  <c r="Y211"/>
  <c r="V211"/>
  <c r="U211" s="1"/>
  <c r="T211"/>
  <c r="M211" s="1"/>
  <c r="AB210" s="1"/>
  <c r="Z210"/>
  <c r="Y210"/>
  <c r="V210"/>
  <c r="U210" s="1"/>
  <c r="T210" s="1"/>
  <c r="M210" s="1"/>
  <c r="AB209" s="1"/>
  <c r="Z209"/>
  <c r="Y209"/>
  <c r="V209"/>
  <c r="U209" s="1"/>
  <c r="T209" s="1"/>
  <c r="M209" s="1"/>
  <c r="AB208"/>
  <c r="Z208"/>
  <c r="Y208" s="1"/>
  <c r="V208"/>
  <c r="U208" s="1"/>
  <c r="T208"/>
  <c r="M208"/>
  <c r="M180"/>
  <c r="AC179"/>
  <c r="Y179"/>
  <c r="M179"/>
  <c r="M178"/>
  <c r="AC177"/>
  <c r="Y177" s="1"/>
  <c r="W177"/>
  <c r="AC176"/>
  <c r="Y176" s="1"/>
  <c r="W176"/>
  <c r="AC175"/>
  <c r="Y175"/>
  <c r="AC174"/>
  <c r="Y174"/>
  <c r="M173" s="1"/>
  <c r="AC169"/>
  <c r="Y169" s="1"/>
  <c r="W169"/>
  <c r="AC168"/>
  <c r="Y168"/>
  <c r="M168"/>
  <c r="M167"/>
  <c r="AC166"/>
  <c r="Y166"/>
  <c r="AC165"/>
  <c r="Y165"/>
  <c r="AC164"/>
  <c r="Y164"/>
  <c r="M157" s="1"/>
  <c r="AC149"/>
  <c r="Y149"/>
  <c r="M149"/>
  <c r="M148"/>
  <c r="M141"/>
  <c r="AC138"/>
  <c r="AC137"/>
  <c r="M137" s="1"/>
  <c r="AC131"/>
  <c r="Y131"/>
  <c r="AC130"/>
  <c r="Y130"/>
  <c r="AC129"/>
  <c r="Y129"/>
  <c r="AC128"/>
  <c r="Y128"/>
  <c r="AC127"/>
  <c r="Y127"/>
  <c r="AC126"/>
  <c r="Y126"/>
  <c r="AC125"/>
  <c r="Y125"/>
  <c r="AC124"/>
  <c r="Y124"/>
  <c r="AC123"/>
  <c r="Y123"/>
  <c r="AC122"/>
  <c r="Y122"/>
  <c r="AC121"/>
  <c r="Y121"/>
  <c r="AC120"/>
  <c r="Y120"/>
  <c r="AC119"/>
  <c r="Y119"/>
  <c r="AC118"/>
  <c r="Y118"/>
  <c r="AC117"/>
  <c r="Y117"/>
  <c r="AC116"/>
  <c r="Y116"/>
  <c r="AC115"/>
  <c r="Y115"/>
  <c r="AC114"/>
  <c r="Y114"/>
  <c r="AC113"/>
  <c r="Y113"/>
  <c r="AC112"/>
  <c r="Y112"/>
  <c r="AC111"/>
  <c r="Y111"/>
  <c r="AC110"/>
  <c r="Y110"/>
  <c r="AC109"/>
  <c r="Y109"/>
  <c r="AC108"/>
  <c r="Y108"/>
  <c r="AC107"/>
  <c r="Y107"/>
  <c r="AC106"/>
  <c r="Y106"/>
  <c r="AC105"/>
  <c r="Y105"/>
  <c r="AC104"/>
  <c r="Y104"/>
  <c r="AC103"/>
  <c r="Y103"/>
  <c r="AC102"/>
  <c r="Y102"/>
  <c r="Y101"/>
  <c r="Y100"/>
  <c r="Y99"/>
  <c r="AC98"/>
  <c r="Y98"/>
  <c r="M97"/>
  <c r="O95"/>
  <c r="P94"/>
  <c r="M94"/>
  <c r="P92"/>
  <c r="R91"/>
  <c r="P91" s="1"/>
  <c r="O91" s="1"/>
  <c r="N91"/>
  <c r="M91" s="1"/>
  <c r="M83"/>
  <c r="AC80"/>
  <c r="Y80"/>
  <c r="M80" s="1"/>
  <c r="P77"/>
  <c r="P76"/>
  <c r="P75"/>
  <c r="O74"/>
  <c r="N74"/>
  <c r="P72"/>
  <c r="AC71"/>
  <c r="Y71"/>
  <c r="P71" s="1"/>
  <c r="O71"/>
  <c r="N71"/>
  <c r="M71"/>
  <c r="M70"/>
  <c r="Y68"/>
  <c r="Y67"/>
  <c r="Y66"/>
  <c r="Y65"/>
  <c r="Y64"/>
  <c r="M63"/>
  <c r="P58"/>
  <c r="P57"/>
  <c r="P56" s="1"/>
  <c r="O56" l="1"/>
  <c r="N56"/>
  <c r="M56"/>
  <c r="P55"/>
  <c r="P54"/>
  <c r="AC53"/>
  <c r="Y53" s="1"/>
  <c r="R53"/>
  <c r="P53"/>
  <c r="O53"/>
  <c r="N53" s="1"/>
  <c r="M53"/>
  <c r="M52"/>
  <c r="M51" s="1"/>
  <c r="Y49"/>
  <c r="Y48"/>
  <c r="Y47"/>
  <c r="AC46"/>
  <c r="Y46"/>
  <c r="M41"/>
  <c r="W36" s="1"/>
  <c r="M36" s="1"/>
  <c r="W35"/>
  <c r="M35" s="1"/>
  <c r="Y34"/>
  <c r="R34"/>
  <c r="P34" l="1"/>
  <c r="O34"/>
  <c r="N34"/>
  <c r="M34" s="1"/>
  <c r="AC33"/>
  <c r="Y33" l="1"/>
  <c r="M33" l="1"/>
  <c r="AC31"/>
  <c r="Y31"/>
  <c r="AC30"/>
  <c r="Y30"/>
  <c r="Y29"/>
  <c r="AC28"/>
  <c r="Y28"/>
  <c r="AC27"/>
  <c r="Y27"/>
  <c r="AC26"/>
  <c r="Y26"/>
  <c r="AC23"/>
  <c r="Y23"/>
  <c r="M23" l="1"/>
  <c r="AC22"/>
  <c r="Y22"/>
  <c r="AC21"/>
  <c r="Y21"/>
  <c r="AC20"/>
  <c r="Y20"/>
  <c r="M19" s="1"/>
  <c r="P16"/>
  <c r="P15"/>
  <c r="P13" s="1"/>
  <c r="O13"/>
  <c r="N13"/>
  <c r="M13"/>
  <c r="P12"/>
  <c r="P11"/>
  <c r="O11"/>
  <c r="N11"/>
  <c r="AC10"/>
  <c r="Y10" s="1"/>
  <c r="X10"/>
  <c r="P10" s="1"/>
  <c r="O10" s="1"/>
  <c r="N10" s="1"/>
  <c r="M10"/>
  <c r="O9"/>
  <c r="M9" l="1"/>
  <c r="V8" s="1"/>
  <c r="U8"/>
  <c r="M8"/>
  <c r="N245" i="7"/>
  <c r="N201"/>
  <c r="N200"/>
  <c r="N199"/>
  <c r="N198"/>
  <c r="N197"/>
  <c r="N196"/>
  <c r="N195"/>
  <c r="N194"/>
  <c r="N193"/>
  <c r="N192"/>
  <c r="N129"/>
  <c r="N122"/>
  <c r="N121" s="1"/>
  <c r="N93"/>
  <c r="N86"/>
  <c r="N57"/>
  <c r="N56"/>
  <c r="N55"/>
  <c r="N54"/>
  <c r="N53"/>
  <c r="N51" s="1"/>
  <c r="N44"/>
  <c r="N36" s="1"/>
  <c r="N34" s="1"/>
  <c r="N24"/>
  <c r="N14"/>
  <c r="N11"/>
  <c r="N10"/>
  <c r="N256" i="4"/>
  <c r="N212"/>
  <c r="N211"/>
  <c r="N210"/>
  <c r="N209"/>
  <c r="N208"/>
  <c r="N207"/>
  <c r="N206"/>
  <c r="N205"/>
  <c r="N204"/>
  <c r="N203"/>
  <c r="N138"/>
  <c r="N131" s="1"/>
  <c r="N130" s="1"/>
  <c r="N102"/>
  <c r="N95"/>
  <c r="N57"/>
  <c r="N56"/>
  <c r="N55"/>
  <c r="N54"/>
  <c r="N53"/>
  <c r="N44"/>
  <c r="N36" s="1"/>
  <c r="N34" s="1"/>
  <c r="N24"/>
  <c r="N14" s="1"/>
  <c r="N11"/>
  <c r="N51" l="1"/>
  <c r="N10"/>
  <c r="E27" i="6"/>
  <c r="F27"/>
  <c r="G27"/>
  <c r="H27" s="1"/>
  <c r="J27" s="1"/>
</calcChain>
</file>

<file path=xl/sharedStrings.xml><?xml version="1.0" encoding="utf-8"?>
<sst xmlns="http://schemas.openxmlformats.org/spreadsheetml/2006/main" count="5450" uniqueCount="1685">
  <si>
    <t>แบบฟอร์มสรุปโครงการแผนปฏิบัติการประจำปีงบประมาณ พ.ศ. 2554</t>
  </si>
  <si>
    <t>เอกสารหมายเลข 4</t>
  </si>
  <si>
    <t>คณะเภสัชศาสตร์ มหาวิทยาลัยอุบลราชธานี</t>
  </si>
  <si>
    <t>ลำดับที่</t>
  </si>
  <si>
    <t>ชื่อโครงการ</t>
  </si>
  <si>
    <t>วัตถุประสงค์</t>
  </si>
  <si>
    <t>ผลผลิต</t>
  </si>
  <si>
    <t>ดัชนีวัดความสำเร็จ</t>
  </si>
  <si>
    <t>ค่าเป้าหมาย</t>
  </si>
  <si>
    <t>หน่วยนับ</t>
  </si>
  <si>
    <t>ระยะเวลาการดำเนินงาน</t>
  </si>
  <si>
    <t>ความสอดคล้องกับยุทธศาสตร์และกลยุทธ์ของมหาวิทยาลัย</t>
  </si>
  <si>
    <t xml:space="preserve"> ความสอดคล้องกับข้อเสนอแนะของคณะกรรมการตรวจประเมินต่างๆ</t>
  </si>
  <si>
    <t>แหล่งเงิน</t>
  </si>
  <si>
    <t>งบประมาณรวม</t>
  </si>
  <si>
    <t>เงินเดือน/</t>
  </si>
  <si>
    <t>ค่าจ้าง</t>
  </si>
  <si>
    <t>ค่าตอบแทน ใช้สอยและวัสดุ</t>
  </si>
  <si>
    <t>ค่าสาธารณูปโภค</t>
  </si>
  <si>
    <t>งบลงทุน</t>
  </si>
  <si>
    <t>เงินอุดหนุน</t>
  </si>
  <si>
    <t>รหัสโครงการ</t>
  </si>
  <si>
    <t>ค่าจ้างประจำ</t>
  </si>
  <si>
    <t>ชั่วคราว</t>
  </si>
  <si>
    <t>ค่าตอบแทน</t>
  </si>
  <si>
    <t xml:space="preserve"> ค่าใช้สอย</t>
  </si>
  <si>
    <t xml:space="preserve"> ค่าวัสดุ</t>
  </si>
  <si>
    <t>รวมค่าตอบแทน ใช้สอยและวัสดุ</t>
  </si>
  <si>
    <t>ค่าครุภัณฑ์</t>
  </si>
  <si>
    <t>สิ่งก่อสร้าง</t>
  </si>
  <si>
    <t>รวมงบลงทุน</t>
  </si>
  <si>
    <t>(2)</t>
  </si>
  <si>
    <t>แผนงานผลิตบัณฑิต</t>
  </si>
  <si>
    <r>
      <rPr>
        <b/>
        <sz val="18"/>
        <rFont val="Angsana New"/>
        <family val="1"/>
      </rPr>
      <t xml:space="preserve">ก. </t>
    </r>
    <r>
      <rPr>
        <b/>
        <u/>
        <sz val="18"/>
        <rFont val="Angsana New"/>
        <family val="1"/>
      </rPr>
      <t>เงินงบประมาณแผ่นดิน</t>
    </r>
  </si>
  <si>
    <t xml:space="preserve"> </t>
  </si>
  <si>
    <r>
      <rPr>
        <b/>
        <sz val="16"/>
        <rFont val="Angsana New"/>
        <family val="1"/>
      </rPr>
      <t xml:space="preserve"> - </t>
    </r>
    <r>
      <rPr>
        <b/>
        <u/>
        <sz val="16"/>
        <rFont val="Angsana New"/>
        <family val="1"/>
      </rPr>
      <t>งบประมาณแผ่นดินที่ได้รับจัดสรร</t>
    </r>
  </si>
  <si>
    <r>
      <rPr>
        <b/>
        <sz val="16"/>
        <rFont val="Angsana New"/>
        <family val="1"/>
      </rPr>
      <t xml:space="preserve"> - </t>
    </r>
    <r>
      <rPr>
        <b/>
        <u/>
        <sz val="16"/>
        <rFont val="Angsana New"/>
        <family val="1"/>
      </rPr>
      <t>งบประมาณแผ่นดินที่เสนอโครงการขอบรรจุในแผน</t>
    </r>
  </si>
  <si>
    <t>ส่วนต่าง</t>
  </si>
  <si>
    <t>(ต้องพิจารณาปรับลดงบประมาณ)</t>
  </si>
  <si>
    <t xml:space="preserve">  </t>
  </si>
  <si>
    <t xml:space="preserve">1 </t>
  </si>
  <si>
    <t>สำนักงานเลขานุการ (งบกลาง)</t>
  </si>
  <si>
    <t>โครงการผลิตบัณฑิตระดับปริญญาตรี (เงินงบประมาณแผ่นดิน)</t>
  </si>
  <si>
    <r>
      <t xml:space="preserve">โครงการรองรับการผลิตบัณฑิตระดับปริญญาตรี  </t>
    </r>
    <r>
      <rPr>
        <sz val="14"/>
        <color indexed="10"/>
        <rFont val="Angsana New"/>
        <family val="1"/>
      </rPr>
      <t>- ประกอบด้วย</t>
    </r>
  </si>
  <si>
    <t>(1.1)</t>
  </si>
  <si>
    <t>กลุ่มวิชาชีวเภสัชศาสตร์</t>
  </si>
  <si>
    <t xml:space="preserve">โครงการพัฒนาแนวคิดของชีวเภสัชศาสตร์กับวิชาชีพเภสัชกรรม  </t>
  </si>
  <si>
    <t>1. เพื่อพัฒนาแนวคิดของนักศึกษาคณะเภสัชศาสตร์ ให้เข้าใจถึงความสำคัญ และบทบาทของรายวิชาชีวเภสัชศาสตร์ที่มีความเกี่ยวข้องกับวิชาชีพในอนาคต
2. เพื่อให้นักศึกษามีวิธีการคิดที่เป็นระบบก่อนการทำปฏิบัติการ</t>
  </si>
  <si>
    <t xml:space="preserve">นักศึกษาเข้าใจถึงความสำคัญ และบทบาทของรายวิชาชีวเภสัชศาสตร์ที่มีความเกี่ยวข้องกับวิชาชีพในอนาคต 
</t>
  </si>
  <si>
    <t>1. จำนวนนักศึกษาชั้นปีที่ 2 ที่เข้ารับการอบรม มีจำนวนไม่น้อยกว่าร้อยละ 70 
2. นักศึกษาที่เข้ารับการอบรมไม่น้อยกว่าร้อยละ 60 มีความเข้าใจบทบาทของรายวิชาชีวเภสัชศาสตร์และความเกี่ยวข้องกับวิชาชีพในอนาคตมากขึ้น</t>
  </si>
  <si>
    <t xml:space="preserve">เดือนมิถุนายน 2554  </t>
  </si>
  <si>
    <t xml:space="preserve"> - อาหารว่าง (25บ.x110คนx1ครั้ง)</t>
  </si>
  <si>
    <t xml:space="preserve"> - อาหารกลางวัน (35บ.x110คน)</t>
  </si>
  <si>
    <t xml:space="preserve"> - ค่าวัสดุอื่นๆ</t>
  </si>
  <si>
    <t>(1.2)</t>
  </si>
  <si>
    <t>งานวิชาการ</t>
  </si>
  <si>
    <t xml:space="preserve">โครงการพัฒนาการเรียนการสอนที่ส่งเสริมการเรียนรู้โดยเน้นผู้เรียนเป็นสำคัญ </t>
  </si>
  <si>
    <t>เดือนตุลาคม 2553 - กันยายน 2554</t>
  </si>
  <si>
    <t xml:space="preserve"> - ค่าตอบแทน (600บ.x20ชม.)</t>
  </si>
  <si>
    <t xml:space="preserve"> - ค่าเบี้ยเลี้ยง (120บ.x2คนx3วัน)</t>
  </si>
  <si>
    <t xml:space="preserve"> - ค่าพาหนะเดินทาง(6000บ.x2คน)</t>
  </si>
  <si>
    <t xml:space="preserve"> - ค่าที่พักวิทยากร (1000บ.x2คนx2วัน)</t>
  </si>
  <si>
    <t xml:space="preserve"> - ค่าอาหารกลางวัน (50บ.x50คนx2มื้อ)</t>
  </si>
  <si>
    <t xml:space="preserve"> - ค่าอาหารว่าง (25บ.x50คนx4มื้อ)</t>
  </si>
  <si>
    <t xml:space="preserve"> - วัสดุงานบ้านงานครัว</t>
  </si>
  <si>
    <t xml:space="preserve"> - วัสดุสำนักงานและอื่นๆ </t>
  </si>
  <si>
    <t>(1.3)</t>
  </si>
  <si>
    <t xml:space="preserve">โครงการสอบประมวลความรอบรู้ตามหลักสูตรเภสัชศาสตรบัณฑิต ปีการศึกษา 2553   </t>
  </si>
  <si>
    <t xml:space="preserve"> - อาหารกลางวัน (35บ.x20คนx8มื้อ)</t>
  </si>
  <si>
    <t xml:space="preserve"> - อาหารกลางวัน กก.ซ้อมฯ (35บ.x55คนx1มื้อ)</t>
  </si>
  <si>
    <t xml:space="preserve"> - อาหารว่างประชุม (25บ.x20คนx8มื้อ)</t>
  </si>
  <si>
    <t xml:space="preserve"> - อาหารว่าง กก.คุมสอบ (25บ.x55คนx4มื้อ)</t>
  </si>
  <si>
    <t xml:space="preserve"> - วัสดุสำนักงาน</t>
  </si>
  <si>
    <t>(1.4)</t>
  </si>
  <si>
    <t xml:space="preserve">โครงการดำเนินงานสารนิพนธ์ของนักศึกษาเภสัชศาสตร์ </t>
  </si>
  <si>
    <t xml:space="preserve"> - เบี้ยเลี้ยง พขร. (120บ.x20วันx1คน)</t>
  </si>
  <si>
    <t xml:space="preserve"> - วัสดุวิทยาศาสตร์</t>
  </si>
  <si>
    <t xml:space="preserve"> - วัสดุเชื้อเพลิง</t>
  </si>
  <si>
    <t xml:space="preserve"> - วัสดุอื่นๆ</t>
  </si>
  <si>
    <t xml:space="preserve"> - ค่าสาธารณูปโภค (แสตมป์)</t>
  </si>
  <si>
    <t>(1.5)</t>
  </si>
  <si>
    <t>กลุ่มวิชาเภสัชกรรมปฏิบัติ</t>
  </si>
  <si>
    <t xml:space="preserve">โครงการพัฒนาแนวคิดด้านเภสัชกรรมคลินิกกับวิชาชีพเภสัชกรรม </t>
  </si>
  <si>
    <t xml:space="preserve">1. เพื่อแลกเปลี่ยนเรียนรู้ ถึงประสิทธิภาพและปัญหาในการเรียนการสอน สาขาเฉพาะทางเภสัชกรรมปฏิบัติ และการเรียนการสอนของคณะเภสัชศาสตร์ 
2. เพื่อให้นักศึกษาที่เรียนเลือกเรียนในสาขาเฉพาะทางเภสัชกรรมปฏิบัติ ได้มีโอกาสแลกเปลี่ยนเรียนรู้กับนักศึกษารุ่นพี่และคณาจารย์ในแนวทางการเรียนสาขาเฉพาะทาง รวมถึงบทบาทหน้าที่ของเภสัชกรในงานเภสัชกรรมคลินิก
3. เพื่อเพิ่มวุฒิภาวะทางอารมณ์ ภาวะความเป็นผู้นำแก่นักศึกษา
</t>
  </si>
  <si>
    <t>1. นักศึกษามีโอกาสได้แลกเปลี่ยนเรียนรู้เกี่ยวกับลักษณะงานในโรงพยาบาล และการตั้งเป้าหมายในชีวิตทั้งระยะสั้นและระยะยาว ซึ่งมีส่วนช่วยให้นักศึกษาได้เตรียมตัวในการปรับแนวคิด รูปแบบการเรียนของตนให้เหมาะสมกับการเรียนสาขาเฉพาะทางมากขึ้น รวมทั้งยังส่งเสริมให้มีการตั้งเป้าหมายในการเรียน มีการเรียนรู้ที่มีจุดมุ่งหมายมากขึ้น 
2. นักศึกษาได้เรียนรู้บทบาทการเป็นผู้นำ การมีส่วนร่วมทำงานเป็นทีมและยังได้เรียนรู้ทักษะการสื่อสารที่เป็นแบบวจนภาษาและอวจนภาษาผ่านกิจกรรมต่างๆ</t>
  </si>
  <si>
    <t xml:space="preserve">1. คณาจารย์เข้าร่วมโครงการอย่างน้อย ร้อยละ 80
2. นักศึกษาเภสัชศาสตร์ สาขาเฉพาะทางเภสัชกรรมปฏิบัติเข้าร่วมโครงการ อย่างน้อยร้อยละ 80 </t>
  </si>
  <si>
    <t xml:space="preserve"> - อาหารว่างฯ (100คนx25บ.x1มื้อ)</t>
  </si>
  <si>
    <t xml:space="preserve"> - อาหารกลางวัน (35บ.x100คน)</t>
  </si>
  <si>
    <t>(1.6)</t>
  </si>
  <si>
    <t>กลุ่มวิชาเภสัชเคมีและเทคโนโลยีเภสัชกรรม</t>
  </si>
  <si>
    <t xml:space="preserve">โครงการศึกษาพืชสมุนไพรนอกสถานที่รายวิชาปฏิบัติการเภสัชพฤกษศาสตร์ </t>
  </si>
  <si>
    <t>นศ. ได้รับความรู้จากการปฏิบัติจริงที่ช่วยย้ำความเข้าใจที่เคยได้เรียนมาทางทฤษฎี</t>
  </si>
  <si>
    <t>มีรายงานปฏิบัติการ และการนำเสนอผลการศึกษานอกสถานที่</t>
  </si>
  <si>
    <t>นศ.เข้าร่วมโครงการไม่น้อยกว่าร้อยละ 50</t>
  </si>
  <si>
    <t xml:space="preserve"> - ค่าตอบแทนวิทยากร (400บ.x4คนx1วัน)</t>
  </si>
  <si>
    <t xml:space="preserve"> - ค่าอหารว่าง(20บ.x2ครั้งx110คนx1วัน)</t>
  </si>
  <si>
    <t xml:space="preserve"> - ค่าอาหารกลางวัน(50บ.x110คนx1วัน)</t>
  </si>
  <si>
    <t xml:space="preserve"> - ค่าใช้จ่ายในการเดินทาง(น้ำมันฯ)</t>
  </si>
  <si>
    <t xml:space="preserve"> - ค่าเบี้ยเลี้ยง(120บ.x3คนx1วัน)</t>
  </si>
  <si>
    <t xml:space="preserve"> - ค่าธรรมเนียมอื่นๆ</t>
  </si>
  <si>
    <t>(1.7)</t>
  </si>
  <si>
    <t>งานประกันคุณภาพและสารสนเทศ</t>
  </si>
  <si>
    <t xml:space="preserve">โครงการพัฒนาระบบประกันคุณภาพการศึกษาคณะเภสัชศาสตร์  </t>
  </si>
  <si>
    <t xml:space="preserve"> - ค่าใช้จ่ายในการดำเนินงานประกันคุณภาพประจำปี (ปกติ)</t>
  </si>
  <si>
    <t xml:space="preserve"> - ค่าใช้จ่ายในการจัดประชุม/สัมมนาเพื่อชี้แจงเกณฑ์ EdPEx และกระจายตัวชี้วัดสู่ระดับบุคคล</t>
  </si>
  <si>
    <t>(1.8)</t>
  </si>
  <si>
    <t>งานปฏิบัติ การ</t>
  </si>
  <si>
    <t xml:space="preserve">โครงการซ่อมแซมครุภัณฑ์วิทยาศาสตร์  </t>
  </si>
  <si>
    <t xml:space="preserve"> - ค่าจ้างเหมาซ่อมแซมครุภัณฑ์ฯ</t>
  </si>
  <si>
    <t>(1.9)</t>
  </si>
  <si>
    <t xml:space="preserve">โครงการสมทบการดำเนินการจ้างเหมาทำความสะอาด  </t>
  </si>
  <si>
    <t>(1.10)</t>
  </si>
  <si>
    <t>โครงการปรับปรุงหลักสูตรเภสัชศาสตรบัณฑิตและหลักสูตรบัณฑิตศึกษาเพื่อให้เป็นไปตามมาตรฐานคุณวุฒิอุดมศึกษา</t>
  </si>
  <si>
    <t xml:space="preserve"> - ค่าที่พักที่ปรึกษา (4คนx1200บ.x2วัน)</t>
  </si>
  <si>
    <t xml:space="preserve"> - ค่าเดินทางที่ปรึกษา</t>
  </si>
  <si>
    <t xml:space="preserve"> - ค่าอาหาร (50บาทx4มื้อx40คน)</t>
  </si>
  <si>
    <t xml:space="preserve"> - ค่าอาหารว่าง (25บาทx4มื้อx 40คน)</t>
  </si>
  <si>
    <t>(1.11)</t>
  </si>
  <si>
    <t xml:space="preserve">โครงการปรับปรุงหลักสูตรเภสัชศาสตรบัณฑิต (เภสัชภัณฑ์) 6 ปี  </t>
  </si>
  <si>
    <t>1 เพื่อพัฒนาแหล่งฝึกปฏิบัติงานให้ดำเนินกิจกรรมการฝึกงานให้สอดคล้องกับวัตถุประสงค์ ของการฝึกงานสาขาเภสัชกรรมและเภสัชอุตสาหกรรม 
2 เพื่อแลกเปลี่ยนประสบการณ์และเสริมสร้างความสัมพันธ์อันดีระหว่างแหล่งฝึกปฏิบัติงานและคณะเภสัชศาสตร์
 3 เพื่อสร้างความร่วมมือด้านงานวิจัยระหว่างภาครัฐและเอกชน</t>
  </si>
  <si>
    <t xml:space="preserve">1 นักศึกษาได้ฝึกการแก้ไขปัญหาและได้ทักษะการทำงานเป็นทีม
2 สร้างความร่วมมือกันระหว่างองค์กรในการพัฒนางานวิจัยในแหล่งฝึกงาน
3 เพิ่มจำนวนและศักยภาพแหล่งฝึกปฏิบัติงานด้านเภสัชกรรมและเภสัชอุตสาหกรรม
</t>
  </si>
  <si>
    <t>จำนวนแหล่งฝึกที่เพิ่มขึ้น</t>
  </si>
  <si>
    <t xml:space="preserve"> - ค่าตอบแทนวิทยากร (1200บาทx6ชม.)</t>
  </si>
  <si>
    <t xml:space="preserve"> - ค่าเดินทางวิทยากร (6000บ.x3คน)</t>
  </si>
  <si>
    <t xml:space="preserve"> - ค่าที่พัก(1200บ.x3คนx1วัน)</t>
  </si>
  <si>
    <t xml:space="preserve"> - ค่าอาหาร (50บาทx1มื้อx30คน)</t>
  </si>
  <si>
    <t xml:space="preserve"> - ค่าอาหารว่าง (25บาทx2มื้อx30คน)</t>
  </si>
  <si>
    <t>2</t>
  </si>
  <si>
    <t>สำนักงานเลขานุการ</t>
  </si>
  <si>
    <t>โครงการพัฒนาศักยภาพอาจารย์และบุคลากร (ขอ 400,000 บาท ปรับลดเหลือ 200,000 บาท)</t>
  </si>
  <si>
    <t xml:space="preserve">  - ค่าใช้จ่ายในการเดินทางฯ  8,000 บาท/ 25คน  </t>
  </si>
  <si>
    <t>3</t>
  </si>
  <si>
    <t>งานกิจการนักศึกษา (ฝึกปฏิบัติ งานวิชาชีพ)</t>
  </si>
  <si>
    <t>โครงการฝึกปฏิบัติงานวิชาชีพ (วงเงิน 2,360,000 บาท)</t>
  </si>
  <si>
    <t xml:space="preserve"> - ค่าตอบแทนทั่วไป</t>
  </si>
  <si>
    <t xml:space="preserve"> - ค่าตอบแทนเฉพาะทาง</t>
  </si>
  <si>
    <t xml:space="preserve"> - คชจ.นิเทศงานทั่วไป</t>
  </si>
  <si>
    <t xml:space="preserve"> - คชจ.นิเทศงานเฉพาะทาง</t>
  </si>
  <si>
    <t xml:space="preserve">  - ค่าใช้จ่ายในการดำเนินงาน + ส่วนต่างวงเงินคงเหลือ (40,000 บาท)</t>
  </si>
  <si>
    <t>(3.1)</t>
  </si>
  <si>
    <t>งานกิจการนักศึกษา (ฝึกปฏิบัติงานวิชาชีพ)</t>
  </si>
  <si>
    <t xml:space="preserve"> - โครงการเตรียมความพร้อมนักศึกษาก่อนออกฝึกปฏิบัติงานวิชาชีพทั่วไป </t>
  </si>
  <si>
    <t>(3.2)</t>
  </si>
  <si>
    <t xml:space="preserve"> - โครงการเตรียมความพร้อมนักศึกษาก่อนออกฝึกปฏิบัติงานวิชาชีพเฉพาะทาง</t>
  </si>
  <si>
    <t>(3.3)</t>
  </si>
  <si>
    <t xml:space="preserve"> - โครงการวิจัยค้นคว้าเพื่อพัฒนาตนเองของนักศึกษา</t>
  </si>
  <si>
    <t>(3.4)</t>
  </si>
  <si>
    <t>กลุ่มวิชาเภสัชเคมีและเทคโนโลยีเภสัชกรรม (ฝึกปฏิบัติ งานวิชาชีพ)</t>
  </si>
  <si>
    <t xml:space="preserve">โครงการเตรียมความพร้อมของนักศึกษาเภสัชศาสตร์ชั้นปีที่ 4 สาชาเภสัชภัณฑ์ก่อนฝึกปฏิบัติงานวิชาชีพ ศึกษาดูงานด้านผลิตภัณฑ์และการควบคุมคุณภาพ  </t>
  </si>
  <si>
    <t xml:space="preserve">1.  เพื่อให้นักศึกษามีโอกาสเพิ่มพูนความรู้ ความเข้าใจ และมีทักษะในงานด้านเภสัชกรรม อันจะก่อให้เกิดประโยชน์ในการปฏิบัติงานวิชาชีพเภสัชกรรม 2.  เพี่อให้นักศึกษามีทัศนคติที่ดีต่อวิชาชีพเภสัชกรรม และตระหนักถึงความรับผิดชอบของวิชาชีพต่อสังคม3.  เพื่อเป็นการเตรียมความพร้อมของนักศึกษาก่อนการฝึกปฏิบัติงานวิชาชีพเภสัชศาสตร์
</t>
  </si>
  <si>
    <t xml:space="preserve">1.  นักศึกษามีความรู้ ความเข้าใจ ในงานด้านเภสัชกรรม เพิ่มขึ้นอย่างน้อย 3.5 จาก 5 ระดับ 2.  เพี่อให้นักศึกษามีทัศนคติที่ดีต่อวิชาชีพเภสัชกรรม และตระหนักถึงความรับผิดชอบของวิชาชีพต่อสังคม3.  เพื่อเป็นการเตรียมความพร้อมของนักศึกษาก่อนการฝึกปฏิบัติงานวิชาชีพเภสัชศาสตร์
</t>
  </si>
  <si>
    <t>นศ.เข้าร่วมโครงการไม่น้อยกว่าร้อยละ 80</t>
  </si>
  <si>
    <t xml:space="preserve"> - ค่าเบี้ยเลี้ยง(210บ.x8คนx4วัน)</t>
  </si>
  <si>
    <t xml:space="preserve"> - ค่าเบี้ยเลี้ยง(240บ.x2คนx4วัน)</t>
  </si>
  <si>
    <t xml:space="preserve"> - ค่าที่พัก (700บ.x18ห้องx3วัน)</t>
  </si>
  <si>
    <t xml:space="preserve"> - ค่าจ้างเหมารถบัส (13,000 บ.x4 วัน)</t>
  </si>
  <si>
    <t xml:space="preserve"> - ค่าใช้จ่ายอื่นๆ (ระบุรายละเอียดเพิ่มเติม)</t>
  </si>
  <si>
    <t>(3.5)</t>
  </si>
  <si>
    <t>งานกิจการนักศึกษา(ฝึก ปฏิบัติงานวิชาชีพ)</t>
  </si>
  <si>
    <r>
      <t xml:space="preserve">โครงการมัชฌิมนิเทศพัฒนาศักยภาพนักศึกษาสู่วิชาชีพ  </t>
    </r>
    <r>
      <rPr>
        <sz val="14"/>
        <color indexed="18"/>
        <rFont val="Angsana New"/>
        <family val="1"/>
      </rPr>
      <t xml:space="preserve"> </t>
    </r>
  </si>
  <si>
    <r>
      <t xml:space="preserve"> - ค่าตอบแทนวิทยากร</t>
    </r>
    <r>
      <rPr>
        <sz val="12"/>
        <color indexed="18"/>
        <rFont val="Angsana New"/>
        <family val="1"/>
      </rPr>
      <t>(300บ.x11ชม.x4คน)</t>
    </r>
  </si>
  <si>
    <t xml:space="preserve"> - ค่าตอบแทนวิทยากร(600บ.x1ชม.x6คน)</t>
  </si>
  <si>
    <t xml:space="preserve"> - ค่าเดินทางวิทยากร</t>
  </si>
  <si>
    <t xml:space="preserve"> - ค่าจ้างเหมารถ (2คันx6,000บ.x2วัน)</t>
  </si>
  <si>
    <t xml:space="preserve"> - ค่าที่พัก </t>
  </si>
  <si>
    <t xml:space="preserve"> - ค่าอาหาร (85บ.x3มื้อ.x120คน)</t>
  </si>
  <si>
    <t xml:space="preserve"> - ค่าอาหารว่าง (120คนx50บ.x3มื้อ)</t>
  </si>
  <si>
    <t>(3.6)</t>
  </si>
  <si>
    <t xml:space="preserve">โครงการปัจฉิมนิเทศเพื่อเตรียมความพร้อมสำหรับนักศึกษาเภสัชศาสตร์  </t>
  </si>
  <si>
    <t>(3.7)</t>
  </si>
  <si>
    <t xml:space="preserve">โครงการพัฒนาทักษะการบริบาลทางเภสัชกรรม   </t>
  </si>
  <si>
    <t>1. เพื่อเพิ่มพูนทักษะด้านการบริบาลทางเภสัชกรรมของคณาจารย์
2. เพื่อแลกเปลี่ยนมุมมองและประสบการณ์ในการดูแลรักษาผู้ป่วยกับบุคลากรทางการแพทย์สาขาอื่นๆ 
3. เพื่อแลกเปลี่ยนข้อมูลในการดำเนินการฝึกปฏิบัติงานวิชาชีพระหว่างแหล่งฝึกและคณะเภสัชศาสตร์ เพื่อปรับปรุงแก้ไขให้การฝึกปฏิบัติงานวิชาชีพมีประสิทธิภาพสูงขึ้น
4. เพื่อเสริมสร้างเครือข่ายความร่วมมือระหว่างคณะเภสัชศาสตร์ มหาวิทยาลัยอุบลราชธานี และ โรงพยาบาลสรรพสิทธิประสงค์ ซึ่งเป็นแหล่งฝึกเฉพาะทางให้มีความสัมพันธ์ที่ดียิ่งขึ้น 
5. เพื่อพัฒนาแหล่งฝึกงานของนักศึกษาให้เป็นแหล่งฝึกเฉพาะทางที่สามารถฝึกงานทางด้านการบริบาลทางเภสัชกรรมผู้ป่วยใน (Acute care)</t>
  </si>
  <si>
    <t>1. คณาจารย์ได้เพิ่มพูนทักษะและความรู้ด้านการบริบาลทางเภสัชกรรม และร่วมแลกเปลี่ยนมุมมอง ประสบการณ์ในการดูแลผู้ป่วยกับบุคลากรทางการแพทย์
2. สามารถสร้างเป็นแหล่งฝึกงาน Acute care ให้กับนักศึกษาฝึกงานเฉพาะทางได้
3. คณาจารย์สามารถนำทักษะ ความรู้ รวมถึงประสบการณ์ที่เกิดจากการปฏิบัติงานจริงนำมาถ่ายทอดให้กับนักศึกษา เพื่อเป็นการเพิ่มศักยภาพในการเรียนการสอนได้</t>
  </si>
  <si>
    <t xml:space="preserve">1. คณาจารย์กลุ่มวิชาเภสัชกรรมปฏิบัติได้รับการพัฒนาทักษะการบริบาลทางเภสัชกรรม อย่างน้อยจำนวน 4 คน
2. เข้าร่วมทีมสหสาขาวิชาชีพในการให้บริบาลผู้ป่วยอย่างน้อย 30 ครั้ง
3. จำนวนผู้ป่วยที่ได้รับการบริบาลทางเภสัชกรรมมีจำนวนอย่างน้อย 200 ราย
4. ค้นหาและแก้ไขปัญหาที่เกิดจากยา (Drug-related problem; DRP) ที่เกิดกับผู้ป่วยอย่างน้อย 50 รายการ   </t>
  </si>
  <si>
    <t>ข. เงินรายได้</t>
  </si>
  <si>
    <t xml:space="preserve"> - เงินรายได้ ป.ตรี  (ที่คาดว่าจะได้รับจัดสรรงบ)</t>
  </si>
  <si>
    <t xml:space="preserve"> - เงินรายได้ ป.ตรี ที่เสนอขอบรรจุในแผน</t>
  </si>
  <si>
    <t>บาท (เบิกจ่ายจากค่าตอบแทน ใช้สอยและวัสดุ)</t>
  </si>
  <si>
    <t>1</t>
  </si>
  <si>
    <t>โครงการผลิตบัณฑิตระดับปริญญาตรี (เงินรายได้)</t>
  </si>
  <si>
    <t>4</t>
  </si>
  <si>
    <t xml:space="preserve">งานกิจการนักศึกษา  </t>
  </si>
  <si>
    <r>
      <t xml:space="preserve">โครงการพัฒนานักศึกษา  </t>
    </r>
    <r>
      <rPr>
        <sz val="14"/>
        <rFont val="Angsana New"/>
        <family val="1"/>
      </rPr>
      <t>- ประกอบด้วย</t>
    </r>
  </si>
  <si>
    <t>(4.1)</t>
  </si>
  <si>
    <t xml:space="preserve">โครงการปฐมนิเทศและเตรียมความพร้อมสำหรับนักศึกษาใหม่  </t>
  </si>
  <si>
    <t xml:space="preserve"> - อาหารกลางวัน (130คนx1มื้อx35บ.)</t>
  </si>
  <si>
    <t xml:space="preserve"> - อาหารว่าง (130คนx2มื้อx20บ.)</t>
  </si>
  <si>
    <t xml:space="preserve">โครงการสัปดาห์เภสัชกรรม  </t>
  </si>
  <si>
    <t xml:space="preserve"> - ค่าตอบแทน OT(200บ.ปx2วันx10คน)</t>
  </si>
  <si>
    <t xml:space="preserve"> - ค่าตอบแทน OT(100บ.ปx2วันx10คน)</t>
  </si>
  <si>
    <t xml:space="preserve"> - อาหารว่าง (25บ.x4มื้อx120คน)</t>
  </si>
  <si>
    <t xml:space="preserve"> - อาหารกลางวัน (35บ.x3มื้อx120คน)</t>
  </si>
  <si>
    <t xml:space="preserve"> - ค่าจ้างเหมาจัดสถานที่</t>
  </si>
  <si>
    <t xml:space="preserve"> - ค่าจ้างเหมาเครื่องเสียง</t>
  </si>
  <si>
    <t>(4.3)</t>
  </si>
  <si>
    <r>
      <t xml:space="preserve">โครงการแสดงความยินดีกับบัณฑิตและมหาบัณฑิต </t>
    </r>
    <r>
      <rPr>
        <sz val="14"/>
        <color indexed="18"/>
        <rFont val="Angsana New"/>
        <family val="1"/>
      </rPr>
      <t xml:space="preserve"> </t>
    </r>
  </si>
  <si>
    <t xml:space="preserve"> - ค่าอาหารว่างเหมาจ่าย</t>
  </si>
  <si>
    <t xml:space="preserve"> - ค่าป้ายไวนิล</t>
  </si>
  <si>
    <t xml:space="preserve"> - ค่าต้นไม้จัดสถานที่</t>
  </si>
  <si>
    <t xml:space="preserve"> - ค่าการ์ดแสดงความยินดี</t>
  </si>
  <si>
    <t>(4.4)</t>
  </si>
  <si>
    <t xml:space="preserve">โครงการพัฒนาแกนนำนักศึกษา </t>
  </si>
  <si>
    <t xml:space="preserve"> - ค่าตอบแทนวิทยากร (600บ.x6ชม.)</t>
  </si>
  <si>
    <t xml:space="preserve"> - ค่าที่พักวิทยากร (1,000บ.x2ห้องx2คืน)</t>
  </si>
  <si>
    <t xml:space="preserve"> - ค่าที่พักผู้เข้าร่วมโครงการ (เหมาจ่าย 5,000บ.x2คืน)</t>
  </si>
  <si>
    <t xml:space="preserve"> - ค่าน้ำมันเชื้อเพลิง</t>
  </si>
  <si>
    <t xml:space="preserve"> - ค่าอาหาร (60คนx60บ.x2มื้อ)</t>
  </si>
  <si>
    <t xml:space="preserve"> - ค่าอาหารว่าง (60คนx25บ.x3มื้อ)</t>
  </si>
  <si>
    <t>(4.5)</t>
  </si>
  <si>
    <t xml:space="preserve">โครงการไหว้ครู  </t>
  </si>
  <si>
    <t xml:space="preserve"> - ค่าจ้างเหมาวงดนตรีไทย</t>
  </si>
  <si>
    <t xml:space="preserve"> - รางวัลเรียนดี</t>
  </si>
  <si>
    <t xml:space="preserve"> - รางวัลกิจกรรมเด่น</t>
  </si>
  <si>
    <t xml:space="preserve"> - รางวัลเรียนดี-กิจกรรมเด่น</t>
  </si>
  <si>
    <t xml:space="preserve"> - รางวัลประกวดพานไหว้ครู</t>
  </si>
  <si>
    <t xml:space="preserve"> - อาหารว่าง (490คนx1มื้อx25บ.)</t>
  </si>
  <si>
    <t xml:space="preserve"> - เงินรายได้บัณฑิตศึกษา (ที่คาดว่าได้รับจัดสรร)</t>
  </si>
  <si>
    <r>
      <t xml:space="preserve">- </t>
    </r>
    <r>
      <rPr>
        <b/>
        <sz val="16"/>
        <rFont val="Angsana New"/>
        <family val="1"/>
      </rPr>
      <t xml:space="preserve"> เงินรายได้บัณฑิตศึกษา ที่เสนอขอบรรจุในแผน</t>
    </r>
  </si>
  <si>
    <t>5</t>
  </si>
  <si>
    <t>โครงการผลิตบัณฑิตระดับบัณฑิตศึกษา</t>
  </si>
  <si>
    <t xml:space="preserve"> - เงินเดือนพนักงานมหาวิทยาลัย</t>
  </si>
  <si>
    <t xml:space="preserve"> - ค่าตอบแทนผู้ปฏิบัติงาน</t>
  </si>
  <si>
    <t xml:space="preserve"> - ค่าตอบแทน OT</t>
  </si>
  <si>
    <t xml:space="preserve"> - ค่าใช้จ่ายในการเดินทาง</t>
  </si>
  <si>
    <t xml:space="preserve"> - ค่าใช้จ่ายในการสัมมนา/ฝึกอบรม </t>
  </si>
  <si>
    <t xml:space="preserve"> - ค่าใช้จ่ายอื่นๆ</t>
  </si>
  <si>
    <t xml:space="preserve"> - วัสดุตำรา</t>
  </si>
  <si>
    <t xml:space="preserve"> - วัสดุคอมพิวเตอร์</t>
  </si>
  <si>
    <t>6</t>
  </si>
  <si>
    <t>โครงการผลิตบัณฑิตระดับประกาศนียบัตรบัณฑิต</t>
  </si>
  <si>
    <t xml:space="preserve"> - ค่าจ้างชั่วคราว</t>
  </si>
  <si>
    <t xml:space="preserve"> - ค่าอาหารว่างและเครื่องดื่ม</t>
  </si>
  <si>
    <t xml:space="preserve"> - ค่าอาหารกลางวัน</t>
  </si>
  <si>
    <t xml:space="preserve"> - วัสดุไฟฟ้าและวิทยุ</t>
  </si>
  <si>
    <t xml:space="preserve"> - วัสดุโฆษณาและเผยแพร่</t>
  </si>
  <si>
    <t xml:space="preserve"> - ครุภัณฑ์</t>
  </si>
  <si>
    <t xml:space="preserve"> - สาธารณูปโภค</t>
  </si>
  <si>
    <t xml:space="preserve"> - อุดหนุนทั่วไป</t>
  </si>
  <si>
    <t xml:space="preserve"> - รายอื่นๆ</t>
  </si>
  <si>
    <t xml:space="preserve"> - เงินกองทุนส่งเสริมและพัฒนาการผลิตบัณฑิต</t>
  </si>
  <si>
    <t xml:space="preserve"> - เงินกองทุนส่งเสริมและพัฒนาการผลิตบัณฑิต ที่เสนอบรรจุฯ</t>
  </si>
  <si>
    <t>7</t>
  </si>
  <si>
    <t>โครงการกองทุนส่งเสริมและพัฒนาการผลิตบัณฑิต</t>
  </si>
  <si>
    <t xml:space="preserve"> - ค่าตอบแทนใช้สอยและวัสดุ</t>
  </si>
  <si>
    <t xml:space="preserve"> - เงินอุดหนุนกองทุนฯ</t>
  </si>
  <si>
    <t>(งบที่มี)</t>
  </si>
  <si>
    <t>โครงการรองรับการจัดการเรียนการสอนและพัฒนาหน่วยงานโดยใช้เงินกองทุนฯ</t>
  </si>
  <si>
    <t>(7.1)</t>
  </si>
  <si>
    <t>โครงการจัดทำและติดตามการดำเนินงานตามแผนปฏิบัติการประจำปี</t>
  </si>
  <si>
    <t xml:space="preserve"> - ค่าอาหารว่าง 25 บ.x 15 คน x 6มื้อ</t>
  </si>
  <si>
    <t xml:space="preserve"> - ค่าอาหารกลางวัน 50บ.x15 คนx6มื้อ</t>
  </si>
  <si>
    <t>(7.2)</t>
  </si>
  <si>
    <t>โครงการพัฒนาระบบบริหารทรัพยากรบุคคล</t>
  </si>
  <si>
    <t xml:space="preserve"> - ค่าอาหารว่าง 25 บ.x 30 คน x 2มื้อ</t>
  </si>
  <si>
    <t xml:space="preserve"> - ค่าอาหารกลางวัน 50บ.x30 คน</t>
  </si>
  <si>
    <t xml:space="preserve"> - ค่าตอบแทนวิทยากร 600บ.x 6 ชม.</t>
  </si>
  <si>
    <t>(7.3)</t>
  </si>
  <si>
    <t>โครงการพัฒนาระบบการบริหารความเสี่ยงและการควบคุมภายใน</t>
  </si>
  <si>
    <t xml:space="preserve"> - ค่าอาหารว่าง กก.บริหารฯ 25 บ.x 20 คน x 4มื้อ</t>
  </si>
  <si>
    <t xml:space="preserve"> - ค่าอาหารกลางวัน กก. 50บ.x20 คนx 2มื้อ</t>
  </si>
  <si>
    <t xml:space="preserve"> - ค่าอาหารว่าง 25 บ.x 70 คน x 1มื้อ</t>
  </si>
  <si>
    <t xml:space="preserve"> - ค่าอาหารกลางวัน 35บ.x70 คน</t>
  </si>
  <si>
    <t>(7.4)</t>
  </si>
  <si>
    <t>โครงการพัฒนาระบบการประเมินภาระงานและระบบบริหาร</t>
  </si>
  <si>
    <t xml:space="preserve"> - ค่าอาหารว่าง 25 บ.x 20 คน x 8มื้อ</t>
  </si>
  <si>
    <t xml:space="preserve"> - ค่าอาหารกลางวัน 50บ.x20 คน x 4มื้อ</t>
  </si>
  <si>
    <t>(7.5)</t>
  </si>
  <si>
    <t>โครงการรณรงค์และส่งเสริมการอนุรักษ์ทรัพยากรและพลังงาน</t>
  </si>
  <si>
    <t xml:space="preserve"> - ค่าอาหารว่าง 25 บ.x 20 คน x 4มื้อ</t>
  </si>
  <si>
    <t xml:space="preserve"> - ค่าอาหารกลางวัน 35บ.x20 คน x 2มื้อ</t>
  </si>
  <si>
    <t>(7.6)</t>
  </si>
  <si>
    <t>โครงการพัฒนาระบบ 5 ส.</t>
  </si>
  <si>
    <t xml:space="preserve"> - ค่าอาหารว่าง 25 บ.x 40 คน x 4มื้อ</t>
  </si>
  <si>
    <t xml:space="preserve"> - ค่าอาหารกลางวัน 40บ.x40 คน x 2มื้อ</t>
  </si>
  <si>
    <t>(7.7)</t>
  </si>
  <si>
    <t xml:space="preserve">โครงการเพิ่มค่าตอบแทนในการปฏิบัติงานของบุคลากรตามผลงานและเกณฑ์ภาระงาน  </t>
  </si>
  <si>
    <t xml:space="preserve"> - ค่าตอบแทนตามผลการปฏิบัติงาน </t>
  </si>
  <si>
    <t>(7.8)</t>
  </si>
  <si>
    <t>โครงการเสริมสร้างความสัมพันธ์อันดีระหว่างบุคลากรคณะเภสัชศาสตร์</t>
  </si>
  <si>
    <t xml:space="preserve"> - ค่าอาหารว่าง 25 บ.x 100 คน x 2มื้อ</t>
  </si>
  <si>
    <t xml:space="preserve"> - ค่าอาหารกลางวัน 120บ.x100 คน x 1มื้อ</t>
  </si>
  <si>
    <t xml:space="preserve"> - ค่าอาหารเย็น 300บ.x100 คน x 1มื้อ</t>
  </si>
  <si>
    <t xml:space="preserve"> - ค่าจ้างเหมาทำความสะอาด/อื่นๆ</t>
  </si>
  <si>
    <t xml:space="preserve"> - ค่าวัสดุ</t>
  </si>
  <si>
    <t xml:space="preserve"> - ของที่ระลึกบุคลากร 350บ..*100</t>
  </si>
  <si>
    <t xml:space="preserve"> - ของที่ระลึกมอบหน่วยงานต่างๆ </t>
  </si>
  <si>
    <t>(7.9)</t>
  </si>
  <si>
    <r>
      <t xml:space="preserve">โครงการพัฒนาบุคลากรมุ่งมั่นสู่ความสำเร็จ (วงเงิน 286,200 บาท) </t>
    </r>
    <r>
      <rPr>
        <b/>
        <u/>
        <sz val="14"/>
        <color indexed="56"/>
        <rFont val="Angsana New"/>
        <family val="1"/>
      </rPr>
      <t>เตรียมเสนอขอปรับแผนเพิ่ม</t>
    </r>
  </si>
  <si>
    <t xml:space="preserve"> - ค่าตอบแทนวิทยากร 1200บ.x 6 ชม.x1คน</t>
  </si>
  <si>
    <t xml:space="preserve"> - ค่าอาหารว่าง 50 บ.x 60 คน x 4มื้อ</t>
  </si>
  <si>
    <t xml:space="preserve"> - ค่าอาหารกลางวัน 150บ.x60 คนx2มื้อ</t>
  </si>
  <si>
    <t xml:space="preserve"> - ค่าอาหารเย็น 250บ.x60 คน x 2 มื้อ</t>
  </si>
  <si>
    <t xml:space="preserve"> - ค่าเช่าห้องประชุมและอุปกรณ์</t>
  </si>
  <si>
    <t xml:space="preserve"> - ค่าจ้างเหมารถ 15,000บ./วัน x 4 วัน</t>
  </si>
  <si>
    <t xml:space="preserve"> - ค่าที่พัก 800บ./คน x60 คน x 3 วัน</t>
  </si>
  <si>
    <t xml:space="preserve"> - ค่าเดินทางวิทยากร/คณบดี</t>
  </si>
  <si>
    <t xml:space="preserve"> - อื่นๆ</t>
  </si>
  <si>
    <t>(7.10)</t>
  </si>
  <si>
    <t xml:space="preserve">โครงการประกาศเกียรติคุณสำหรับบุคลากรผู้มีผลงานดีเด่น </t>
  </si>
  <si>
    <t xml:space="preserve"> - เงินรางวัลบุคลากรดีเด่น</t>
  </si>
  <si>
    <t xml:space="preserve"> - เงินรางวัลนักวิจัยดีเด่น</t>
  </si>
  <si>
    <t>(7.11)</t>
  </si>
  <si>
    <t>โครงการเวทีการมีส่วนร่วมของคณาจารย์และบุคลากรคณะเภสัชศาสตร์</t>
  </si>
  <si>
    <t xml:space="preserve"> - ค่าอาหารว่าง 25 บ.x 70 คน x 4มื้อ</t>
  </si>
  <si>
    <t xml:space="preserve"> - ค่าอาหารกลางวัน 50บ.x70 คนx1มื้อ</t>
  </si>
  <si>
    <t>(7.12)</t>
  </si>
  <si>
    <t>โครงการรับรองแขกคณะเภสัชศาสตร์</t>
  </si>
  <si>
    <t xml:space="preserve"> - ค่าอาหารเลี้ยงรับรอง </t>
  </si>
  <si>
    <t xml:space="preserve"> - ค่าของที่ระลึก</t>
  </si>
  <si>
    <t>(7.13)</t>
  </si>
  <si>
    <t>โครงการรับรองคณาจารย์และบุคลากรใหม่คณะเภสัชศาสตร์</t>
  </si>
  <si>
    <t>(7.14)</t>
  </si>
  <si>
    <t xml:space="preserve">โครงการจัดทำแผนพัฒนากลุ่มวิชาชีวเภสัชศาสตร์ </t>
  </si>
  <si>
    <t xml:space="preserve">1. เพื่อจัดทำแผนปฏิบัติการของกลุ่มวิชาชีวเภสัชศาสตร์ 
2. เพื่อเตรียมความพร้อมในการดำเนินกิจกรรมต่างๆ ของกลุ่มวิชาชีวเภสัชศาสตร์ 
3. เพื่อติดตามความก้าวหน้าในการดำเนินโครงการ รวมทั้งติดตามประเมินผล ภายหลังจากการดำเนินกิจกรรมต่างๆสำเร็จลุล่วง </t>
  </si>
  <si>
    <t>1. กลุ่มวิชามีแนวนโยบาย และแผนปฏิบัติการชัดเจนโดยได้จากกระบวนการระดมความคิดเห็นของคณาจารย์ในกลุ่มวิชา 
2. มีความพร้อมในการดำเนินกิจกรรมต่างๆ มีผลให้การดำเนินกิจกรรมต่างๆสำเร็จลุล่วงไปด้วยดี</t>
  </si>
  <si>
    <t>1. ผู้เข้าร่วมประชุมจัดทำแผนปฏิบัติการของกลุ่มวิชา ไม่น้อยกว่าร้อยละ 80 ของอาจารย์ในกลุ่มวิชา
2.  มีแผนปฏิบัติการของกลุ่มวิชาประกอบด้วยแผนอัตรากำลังคน แผนความต้องการครุภัณฑ์ แผนการดำเนินโครงการตามภารกิจของคณะ และแผนการดำเนินโครงการวิจัย โครงการบริการวิชาการและโครงการทำนุบำรุงศิลปวัฒนธรรม
3. มีจำนวนโครงการที่บรรลุดัชนีชี้วัดของแต่ละโครงการไม่น้อยกว่าร้อยละ 80 ของโครงการทั้งหมดที่กำหนดไว้ในแผนปฏิบัติการ</t>
  </si>
  <si>
    <t xml:space="preserve"> - อาหารและเครื่องดื่ม 25บ.x12คนx4มื้อ</t>
  </si>
  <si>
    <t xml:space="preserve"> - อาหาร 50บ.x12คนx3มื้อ</t>
  </si>
  <si>
    <t>(7.15)</t>
  </si>
  <si>
    <t xml:space="preserve">โครงการพัฒนาและเสริมสร้างคุณภาพการสอนให้แก่คณาจารย์กลุ่มวิชาชีวเภสัชศาสตร์  </t>
  </si>
  <si>
    <t>1. เพื่อให้คณาจารย์ได้รับทราบข้อมูลทิศทางและนโยบายของคณะ เพื่อให้ได้สามารถนำไปปฏิบัติได้อย่างมีประสิทธิภาพและเป็นไปในทิศทางเดียวกัน
2. เพื่อเป็นเวทีวิชาการของคณาจารย์ในการพัฒนางานและพัฒนาตน
3. เพื่อให้คณาจารย์ได้แลกเปลี่ยนประสบการณ์ และระดมความคิดแก้ไขปัญหาของกลุ่มวิชาและคณะฯ ร่วมกัน
4. เพื่อพัฒนาประสิทธิ ภาพในการจัดการเรียนการสอน ให้เป็นแนวปฏิบัติที่ดีของกลุ่มวิชา</t>
  </si>
  <si>
    <t xml:space="preserve">1. คณาจารย์ได้รับทราบทิศทาง นโยบายของคณะและข้อมูลต่าง ๆ สามารถนำไปพิจารณาปฏิบัติได้อย่างมีประสิทธิภาพและเป็นไปในทิศทางเดียวกัน
2. ปัญหาของกลุ่มวิชาได้รับการแก้ไขอย่างเป็นระบบโดยผ่านกระบวน การแก้ไขปัญหาต่าง ๆ ร่วมกันของคณาจารย์ในกลุ่มวิชา 
3. กลุ่มวิชามีแนวปฏิบัติที่ดีในด้านการเรียนการสอน  </t>
  </si>
  <si>
    <t xml:space="preserve">1. การประชุมกลุ่มวิชาอย่างน้อยเดือนละ 1 ครั้ง
2. ผู้เข้าร่วมประชุมกลุ่มวิชา ไม่น้อยกว่าร้อยละ 80 ของอาจารย์กลุ่มวิชาที่ปฏิบัติงานต่อการประชุม 1  ครั้ง
3. มีรายงานการประชุมกลุ่มวิชาชีวเภสัชศาสตร์ อย่างน้อย 12 ฉบับ
</t>
  </si>
  <si>
    <t>เดือน ตุลาคม 2553 – กันยายน 2554</t>
  </si>
  <si>
    <t xml:space="preserve"> - อาหารกลางวัน (50บ.x15คนx12ครั้ง)</t>
  </si>
  <si>
    <t xml:space="preserve"> - อาหารว่าง (25บ.x15คนx12ครั้ง)</t>
  </si>
  <si>
    <t>(7.16)</t>
  </si>
  <si>
    <t xml:space="preserve">โครงการพัฒนาและเสริมสร้างศักยภาพการทำงานของบุคลากรงานปฏิบัติการ  </t>
  </si>
  <si>
    <t xml:space="preserve"> - ค่าตอบแทนวิทยากรภายนอก (600บ.x2ชม.)</t>
  </si>
  <si>
    <t xml:space="preserve"> - อาหารกลางวันในวันประชุม (50บ.x11คนx12ครั้ง)</t>
  </si>
  <si>
    <t xml:space="preserve"> - อาหารว่างในวันประชุม(25บ.x11คนx12ครั้ง)</t>
  </si>
  <si>
    <t>(7.17)</t>
  </si>
  <si>
    <t xml:space="preserve">โครงการพัฒนาและเสริมสร้างคุณภาพการสอนให้แก่คณาจารย์กลุ่มวิชาเภสัชเคมีและเทคโนโลยีเภสัชกรรม </t>
  </si>
  <si>
    <t>1 คณาจารย์ได้รับทราบ ทิศทาง นโยบายและข้อมูลต่างๆ ของคณะ สามารถนำไปพิจารณาปฏิบัติได้อย่างมีประสิทธิภาพและเป็นไปในทิศทางเดียวกัน 2 เพื่อให้คณาจารย์ได้แลกเปลี่ยนประสบการณ์และระดมความคิดแก้ไขปัญหาของกลุ่มวิชาและคณะร่วมกัน 3 กลุ่มวิชามีแนวปฏิบัติที่ดีในด้านการเรียนการสอน</t>
  </si>
  <si>
    <t>1 คณาจารย์ได้รับทราบ ทิศทาง นโยบายและข้อมูลต่างๆ ของคณะ สามารถนำไปพิจารณาปฏิบัติได้อย่างมีประสิทธิภาพและเป็นไปในทิศทางเดียวกัน 2 ปัญหาของกลุ่มวิชาได้รับการแก้ไขอย่างเป็นระบบโดยผ่านกระบวนการแก้ไขปัญหาต่างๆ ร่วมกันของคณาจารย์ในกลุ่มวิชา 3 กลุ่มวิชามีแนวปฏิบัติที่ดีในด้านการเรียนการสอน</t>
  </si>
  <si>
    <t>1 ประชุมกลุ่มวิชาอย่างน้อยเดือนละ 1 ครั้ง 2 มีรายงานการประชุมอย่างน้อย 12 ฉบับ 3 มีผู้เข้าร่วมประชุมไม่น้อยกว่าร้อยละ 80</t>
  </si>
  <si>
    <t xml:space="preserve"> - อาหารกลางวัน(50บ.x19คนx12เดือน)</t>
  </si>
  <si>
    <t xml:space="preserve"> - อาหารว่าง(25บ.x19คนx12เดือน)</t>
  </si>
  <si>
    <t>(7.18)</t>
  </si>
  <si>
    <t>โครงการพัฒนาและเสริมสร้างคุณภาพการสอนสำหรับอาจารย์
กลุ่มวิชาเภสัชกรรมปฏิบัติ</t>
  </si>
  <si>
    <t xml:space="preserve">1. เพื่อใช้เป็นสื่อกลางในการที่จะให้คณาจารย์ได้รับทราบข้อมูลและนโยบายของคณะ  
2. เพื่อเป็นเวทีที่เปิดโอกาสให้คณาจารย์ได้ร่วมแสดงความคิดเห็นในประเด็นต่าง ๆ เพื่อที่จะได้มาซึ่งแนวคิดของกิจกรรมต่าง ๆ ของกลุ่มวิชา 
3. เพื่อประชุมหารือและกำหนดแผนงานประจำปี โครงการหรือกิจกรรมต่าง ๆ </t>
  </si>
  <si>
    <t xml:space="preserve">ได้งานหรือกิจกรรมที่เป็นรูปธรรมของกลุ่มวิชาจากการระดมความคิดเห็นของคณาจารย์ในกลุ่มวิชา
</t>
  </si>
  <si>
    <t xml:space="preserve"> - ค่าอาหารกลางวัน (50 บ.x18 คนx12 ครั้ง) </t>
  </si>
  <si>
    <t xml:space="preserve"> - ค่าอาหารว่าง (25 บ.x18คนx12 ครั้ง)</t>
  </si>
  <si>
    <t>(7.19)</t>
  </si>
  <si>
    <t>โครงการปรับปรุง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สาขา 2 (ขอ 35,000 บาท) - เสนอขอเพิ่มเติม</t>
  </si>
  <si>
    <t>เพื่อปรับปรุง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สาขาหน้ามหาวิทยาลัยอุบลราชธานี</t>
  </si>
  <si>
    <t>คณะเภสัชศาสตร์ มี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สาขา 2 ที่มีคุณภาพ</t>
  </si>
  <si>
    <t xml:space="preserve"> - ค่าจ้างเหมาซ่อมแซมตู้แสดงผลิตภัณฑ์ จำนวน 8 ตู้</t>
  </si>
  <si>
    <t>(7.20)</t>
  </si>
  <si>
    <t xml:space="preserve">โครงการพัฒนาและเสริมสร้างศักยภาพการทำงานเป็นทีมสำหรับคณะกรรมการฝึกปฏิบัติงานวิชาชีพและกิจการนักศึกษา   </t>
  </si>
  <si>
    <t xml:space="preserve"> - ค่าอาหารกลางวัน (50 บ.x30 คนx8 ครั้ง) </t>
  </si>
  <si>
    <t xml:space="preserve"> - ค่าอาหารว่าง (25 บ.x30คนx10 ครั้ง)</t>
  </si>
  <si>
    <t>(7.21)</t>
  </si>
  <si>
    <t xml:space="preserve">โครงการความร่วมมือระหว่างคณะเภสัชศาสตร์และแหล่งฝึกปฏิบัติงานวิชาชีพเพื่อส่งเสริมศักยภาพทางวิชาการของแหล่งฝึกปฏิบัติงานวิชาชีพให้ได้มาตรฐานตามเกณฑ์ของสภาเภสัชกรรม </t>
  </si>
  <si>
    <t xml:space="preserve"> - หัวหน้ากลุ่มวิชาเภสัชกรรมปฏิบัติจัดทำรายละเอียดงบประมาณจำแนกตามหมวด</t>
  </si>
  <si>
    <t>(7.22)</t>
  </si>
  <si>
    <t>งานแผนและวิจัย</t>
  </si>
  <si>
    <t>โครงการจัดทำแผนยุทธศาสตร์คณะเภสัชศาสตร์ พ.ศ.2555-2559</t>
  </si>
  <si>
    <t xml:space="preserve"> - ค่าอาหารผู้เข้าร่วม (50บ.x70คนx2ครั้ง)</t>
  </si>
  <si>
    <t xml:space="preserve"> - ค่าอาหารประชุมกรรมการ (50บ.x15คนx4ครั้ง</t>
  </si>
  <si>
    <t xml:space="preserve"> - ค่าอาหารว่าง (25บ.x70คนx2ครั้ง)</t>
  </si>
  <si>
    <t xml:space="preserve"> - ค่าอาหารว่างประชุมกรรมการ (25บ.x15คนx4ครั้ง</t>
  </si>
  <si>
    <t xml:space="preserve"> - ค่าเดินทางผู้มาร่วมให้คำปรึกษา/ให้ข้อคิดเห็นร่างแผนยุทธศาสตร์</t>
  </si>
  <si>
    <t>(7.23)</t>
  </si>
  <si>
    <t>งานกิจการนักศึกษา</t>
  </si>
  <si>
    <t>โครงการสนับสนุนทุนการศึกษาสำหรับนักศึกษาเภสัชศาสตร์</t>
  </si>
  <si>
    <r>
      <t xml:space="preserve"> - เงินอุดหนุนทุนการศึกษา</t>
    </r>
    <r>
      <rPr>
        <sz val="12"/>
        <color indexed="18"/>
        <rFont val="Angsana New"/>
        <family val="1"/>
      </rPr>
      <t>(3ทุนx10,000 บ.)</t>
    </r>
  </si>
  <si>
    <t>(7.24)</t>
  </si>
  <si>
    <t>โครงการพัฒนาประสิทธิภาพบุคลากรสายสนับสนุนเพื่อการประยุกต์สู่สำนักงานคุณภาพ</t>
  </si>
  <si>
    <t xml:space="preserve"> - ค่าจ้างเหมารถ 2,500บ./วัน x 4 วันx2 คัน</t>
  </si>
  <si>
    <t xml:space="preserve"> - ค่าที่พัก 500บ./คน x 20 คน x 3 วัน</t>
  </si>
  <si>
    <t xml:space="preserve"> - ค่าเบี้ยเลี้ยง 210บ.x20คนx4 วัน</t>
  </si>
  <si>
    <t xml:space="preserve"> - ค่าวัสดุเชื้อเพลิง</t>
  </si>
  <si>
    <t xml:space="preserve"> - ของที่ระลึกและอื่นๆ</t>
  </si>
  <si>
    <t>(7.25)</t>
  </si>
  <si>
    <t xml:space="preserve">โครงการปฐมนิเทศและเสริมความรู้ ทักษะการปฏิบัติงานแก่อาจารย์และบุคลากรใหม่ </t>
  </si>
  <si>
    <t xml:space="preserve"> - ค่าอาหารว่าง 25 บ.x 40 คน x 2มื้อ</t>
  </si>
  <si>
    <t xml:space="preserve"> - ค่าอาหารกลางวัน 50บ.x40 คน</t>
  </si>
  <si>
    <t xml:space="preserve"> - ค่าของที่ระลึกวิทยากร</t>
  </si>
  <si>
    <t>(7.26)</t>
  </si>
  <si>
    <t>โครงการพัฒนาผู้บริหารคณะเภสัชศาสตร์</t>
  </si>
  <si>
    <t xml:space="preserve"> - ค่าใช้จ่ายในการเดินทางไปอบรม (25,000 บาท/คน x 1 คน)</t>
  </si>
  <si>
    <t>(7.27)</t>
  </si>
  <si>
    <r>
      <t>โครงการพัฒนาระบบอาจารย์ที่ปรึกษา</t>
    </r>
    <r>
      <rPr>
        <sz val="14"/>
        <color indexed="10"/>
        <rFont val="Angsana New"/>
        <family val="1"/>
      </rPr>
      <t xml:space="preserve">  </t>
    </r>
  </si>
  <si>
    <t xml:space="preserve"> - ค่าตอบแทนวิทยากร (2คนx500บ.x5ชม.)</t>
  </si>
  <si>
    <t xml:space="preserve"> - ค่าอาหาร (250คนx2มื้อx35บ.)</t>
  </si>
  <si>
    <t xml:space="preserve"> - ค่าอาหารว่าง (250คนx2มื้อx 20บ.)</t>
  </si>
  <si>
    <t>(7.28)</t>
  </si>
  <si>
    <t xml:space="preserve">โครงการสำรวจความต้องการศึกษาต่อในหลักสูตรระดับบัณฑิตศึกษา  สาขา :  ชีวเคมีและอณูชีววิทยา  จุลชีววิทยา  สรีรวิทยา  เภสัชวิทยา พิษวิทยา  </t>
  </si>
  <si>
    <t>(7.29)</t>
  </si>
  <si>
    <t>โครงการส่งเสริมการสร้างทีมงานของบุคลากร (ตัดเสื้อสูท)</t>
  </si>
  <si>
    <t xml:space="preserve"> - วัสดุแต่งกาย (2000บ.x40คน)</t>
  </si>
  <si>
    <t>(7.30)</t>
  </si>
  <si>
    <t>โครงการพัฒนาและเสริมสร้างศักยภาพการทำงานของบุคลากรสำนักงานเลขานุการ</t>
  </si>
  <si>
    <t xml:space="preserve"> - อาหารว่าง (อัตรา 25บ.x30คนx12ครั้ง)</t>
  </si>
  <si>
    <t xml:space="preserve"> - อาหารกลางวัน (อัตรา 50บ.x30คนx12ครั้ง)</t>
  </si>
  <si>
    <t>(7.31)</t>
  </si>
  <si>
    <t>โครงการพัฒนาห้องเอกสารอ้างอิงคณะเภสัชศาสตร์</t>
  </si>
  <si>
    <t xml:space="preserve"> - ผู้ช่วยคณบดีฝ่ายวิชาการจัดทำรายละเอียดงบประมาณจำแนกตามหมวด</t>
  </si>
  <si>
    <t>(7.32)</t>
  </si>
  <si>
    <t>โครงการประชาสัมพันธ์เชิงรุก</t>
  </si>
  <si>
    <t xml:space="preserve"> - ผู้ช่วยคณบดีฝ่ายพัฒนาคุณภาพการศึกษาจัดทำรายละเอียดงบประมาณจำแนกตามหมวด</t>
  </si>
  <si>
    <t>(7.33)</t>
  </si>
  <si>
    <t>โครงการการจัดการความรู้เพื่อพัฒนาคณะเภสัชศาสตร์</t>
  </si>
  <si>
    <t>(7.34)</t>
  </si>
  <si>
    <t>โครงการจัดทำสารเภสัชศาสตร์</t>
  </si>
  <si>
    <t>(7.35)</t>
  </si>
  <si>
    <t>โครงการรองรับการพัฒนางานวิจัย (รายละเอียดแสดงในแผนงานวิจัย)</t>
  </si>
  <si>
    <t>(7.36)</t>
  </si>
  <si>
    <t>โครงการรองรับงานบริการวิชาการแก่ชุมชน (รายละเอียดแสดงในแผนงานบริการวิชาการแก่ชุมชน)</t>
  </si>
  <si>
    <t>(7.37)</t>
  </si>
  <si>
    <t>โครงการรองรับงานทำนุบำรุงศิลปวัฒนธรรม (รายละเอียดแสดงในแผนงานทำนบำรุงศิลปวัฒนธรรม)</t>
  </si>
  <si>
    <t>(7.38)</t>
  </si>
  <si>
    <t>โครงการเงินกองทุนเพื่อการพัฒนาบุคลากรคณะเภสัชศาสตร์</t>
  </si>
  <si>
    <t>แผนงานวิจัย</t>
  </si>
  <si>
    <t>ก.  เงินงบประมาณแผ่นดิน</t>
  </si>
  <si>
    <t>8</t>
  </si>
  <si>
    <t>การพัฒนาระบบนำส่งทางจมูกของสับยูนิตวัคซีนอีทูเพื่อป้องกันโรคอหิวาต์ในสุกร</t>
  </si>
  <si>
    <t>9</t>
  </si>
  <si>
    <t>การวิจัยและพัฒนาเพื่อให้ได้เวชสำอางจากสารสกัดสมุนไพรพื้นบ้านไทยโดยกักเก็บในอนุภาคขนาดนาโน เพื่อใช้สำหรับผมหงอกก่อนวัย</t>
  </si>
  <si>
    <t>10</t>
  </si>
  <si>
    <t>การศึกษาผลของน้ำนมราชสีห์เล็กต่อการป้องกันเซลล์ตับเพาะเลี้ยงจากภาวะ oxidative stress</t>
  </si>
  <si>
    <t>11</t>
  </si>
  <si>
    <t xml:space="preserve">การศึกษาองค์ประกอบทางเคมีและฤทธิ์ทางชีวภาพของน้ำนมราชสีห์ </t>
  </si>
  <si>
    <t>12</t>
  </si>
  <si>
    <t>สารที่มีฤทธิ์ยับยั้งเอนไซม์อะเซทิลโคลีนเอสเทอเรสและต้านอนุมูลอิสระจากช้าพลู</t>
  </si>
  <si>
    <t>13</t>
  </si>
  <si>
    <t>การศึกษาฤทธิ์ระงับปวดของสารสกัดหอมแดง</t>
  </si>
  <si>
    <t>ข.  เงินกองทุนส่งเสริมและพัฒนาการผลิตบัณฑิต</t>
  </si>
  <si>
    <t>โครงการรองรับการพัฒนาระบบงานวิจัย</t>
  </si>
  <si>
    <t>7.37(1)</t>
  </si>
  <si>
    <t>โครงการเผยแพร่ผลงานวิชาการทางเภสัชศาสตร์ (เพื่อรองรับเดินทางไปนำเสนอผลงาน)</t>
  </si>
  <si>
    <t>7.37(2)</t>
  </si>
  <si>
    <t>โครงการสนับสนุนการเผยแพร่ผลงานวิจัยคณะเภสัชศาสตร์ (เพื่อเป็นเงินรางวัลการตีพิมพ์/เผยแพร่ผลงาน)</t>
  </si>
  <si>
    <t>7.37(3)</t>
  </si>
  <si>
    <t xml:space="preserve">โครงการสัมนาวิชาการเพื่อพัฒนาศักยภาพนักวิจัย  </t>
  </si>
  <si>
    <t>7.37(4)</t>
  </si>
  <si>
    <t>โครงการพัฒนางานวิจัยคณะเภสัชศาสตร์ (เพื่อรองรับการประชุมกรรมการบริหารงานวิจัย)</t>
  </si>
  <si>
    <t xml:space="preserve"> โครงการสนับสนุนการทำวิจัยเพื่อพัฒนาการเรียนการสอนและพัฒนางาน</t>
  </si>
  <si>
    <t>แผนงานบริการวิชาการแก่ชุมชน</t>
  </si>
  <si>
    <t>14</t>
  </si>
  <si>
    <t>โครงการชีวเภสัชศาสตร์สัญจร : การสร้างเสริมสุขภาพในโรงเรียนเครือข่าย ม.ทราย</t>
  </si>
  <si>
    <t xml:space="preserve"> 1. เพื่อเผยแพร่แนวคิดการสร้างเสริมสุขภาพให้นักเรียนในโรงเรียนเครือข่ายมหาวิทยาลัยอุบลราชธานีและประชาชนรอบโรงเรียนเครือข่ายมหาวิทยาลัยอุบลราชธานีตระหนักถึงการดูแลสุขภาพของตนเอง คนในครอบครัวและชุมชนก่อนการใช้ยา 
2. เพื่อให้ประชาชนได้รับความรู้ด้านสุขภาพ 
3. เพื่อให้นักศึกษาคณะเภสัชศาสตร์ได้เรียนรู้สภาพปัญหาที่แท้จริงในชุมชนและสามารถวางแผนแก้ไขได้</t>
  </si>
  <si>
    <t>1. นักเรียนโรงเรียนเครือข่ายมหาวิทยาลัยอุบลราชธานีได้รับความรู้ ความเข้าใจที่ถูกต้อง ในการดูแลและการสร้างเสริมสุขภาพ
2. ประชาชนได้รับความรู้ด้านสุขภาพ มีส่วนร่วมในการแสดงความเห็น และสอบถามปัญหาเกี่ยวกับสุขภาพและการใช้ยา
3. นักศึกษาคณะเภสัชศาสตร์ชั้นปีที่ 3 ได้เรียนรู้สภาพปัญหาที่แท้จริงในชุมชนและสามารถวางแผนแก้ไขได้</t>
  </si>
  <si>
    <t>1. นักเรียนโรงเรียนเครือ ข่ายฯ ร่วมโครงการไม่น้อยกว่าร้อยละ 60 ของกลุ่ม เป้าหมาย  
2. ครูประจำโรงเรียนเครือข่ายฯ และประชาชนที่อาศัยอยู่รอบบริเวณโรงเรียนเครือข่ายฯ ร้อยละ 60 มีความพึงพอใจในการร่วมกิจกรรมระดับมาก
3. มีการบูรณาการโครงการนี้เข้ากับวิชาปฏิบัติการเภสัชวิทยา 1 และ/หรือ ปฏิบัติการเภสัชวิทยา 2 
4.  นักศึกษาผู้ร่วมโครงการ ร้อยละ 60 มีความพึงพอใจต่อการจัดกิจกรรรมในระดับพึงพอใจมาก</t>
  </si>
  <si>
    <t xml:space="preserve">เดือนสิงหาคม  2554  </t>
  </si>
  <si>
    <t>ข้อ 4</t>
  </si>
  <si>
    <t>15</t>
  </si>
  <si>
    <t>โครงการประชุมวิชาการเครือข่ายเภสัชกรภาคตะวันออกเฉียงเหนือ</t>
  </si>
  <si>
    <t>1. เพื่อเพิ่มพูนความรู้ ด้านความก้าวหน้าทางวิชาการทางเภสัชกรรมแก่เภสัชกรในภาคตะวันออก เฉียงเหนือ เพื่อใช้ในการปฏิบัติหน้าที่ให้ดียิ่งขึ้น
2. เพื่อเป็นเวทีวิชาการที่เปิดโอกาสให้เภสัชกรได้เผยแพร่ผลงานวิชาการ ตลอดจนแลกเปลี่ยนความรู้และประสบการณ์ที่สามารถนำไปใช้ในการให้บริการแก่ประชาชนทั่วไป</t>
  </si>
  <si>
    <t>1. เภสัชกรผู้เข้าร่วมประชุมได้รับความรู้ ด้านความก้าวหน้าทางวิชาการทางเภสัชกรรมเพื่อใช้ในการปฏิบัติหน้าที่ให้ดียิ่งขึ้น
2. เภสัชกรผู้เข้าร่วมประชุมได้แลกเปลี่ยนความคิดเห็นและประสบการณ์ที่สามารถนำไปใช้ในการให้บริการแก่ประชาชนทั่วไป และเกิดการเผยแพร่ผลงานทางวิชาการ</t>
  </si>
  <si>
    <t>1. เภสัชกรที่เข้าร่วมมีจำนวนไม่น้อยกว่าร้อยละ 60 ของกลุ่มเป้าหมาย
2. มีผลงานวิจัยนำเสนอแบบปากเปล่า จากเครือข่ายต่างๆ ไม่น้อยกว่า 10 ผลงาน
3. มีงานวิจัยนำเสนอแบบโปสเตอร์ จากเครือข่ายต่างๆ ไม่น้อยกว่า 10 ผลงาน
4. ผู้เข้าร่วมโครงการมีระดับความพึงพอใจมากกว่าระดับ 3 (จาก 5)</t>
  </si>
  <si>
    <t xml:space="preserve">เดือนมิถุนายน  2554  </t>
  </si>
  <si>
    <t>16</t>
  </si>
  <si>
    <t>งานปฏิบัติการ</t>
  </si>
  <si>
    <t>โครงการสวนสมุนไพรโรงเรียนเครือข่ายมหาวิทยาลัยอุบลราชธานี</t>
  </si>
  <si>
    <t>17</t>
  </si>
  <si>
    <t xml:space="preserve">โครงการกิจกรรมการสร้างสื่อกลางด้านการสร้างเสริมสุขภาพแก่ชุมชน </t>
  </si>
  <si>
    <t>งบ สสส.</t>
  </si>
  <si>
    <t>18</t>
  </si>
  <si>
    <t>โครงการจัดการโรค (Disease Management) ที่พบบ่อยในร้านยา ครั้งที่ 3</t>
  </si>
  <si>
    <t>19</t>
  </si>
  <si>
    <t>โครงการประชุมวิชาการเภสัชบำบัดขั้นสูง (Advanced Pharmacotherpy) ครั้งที่ 6</t>
  </si>
  <si>
    <t>20</t>
  </si>
  <si>
    <t>โครงการหมอยาเคลื่อนที่ (การให้บริบาลทางเภสัชกรรมที่โรงพยาบาล)</t>
  </si>
  <si>
    <t>โครงการบริการวิชาการเรื่องผลิตภัณฑ์อาหารและสมุนไพรเพื่อสุขภาพ</t>
  </si>
  <si>
    <t>1. เพื่อให้ผู้ประกอบการร้านขายยาจังหวัดอุบลราชธานี ตลอดจนผู้สนใจทั่วไป  มีความรู้เกี่ยวกับผลิตภัณฑ์อาหารและสมุนไพรเพื่อสุขภาพที่ถูกต้อง สามารถเลือกใช้ และแนะนำการใช้ได้อย่างเหมาะสม 2. เพื่อเปิดบทบาทหน้าที่ด้านการบริการวิชาการของคณะเภสัชศาสตร์ ในด้านที่เกี่ยวกับอาหารเสริมสุขภาพ</t>
  </si>
  <si>
    <t>ผู้ประกอบการร้านขายยาจังหวัดอุบลราชธานี ตลอดจนผู้สนใจทั่วไป  มีความรู้เกี่ยวกับผลิตภัณฑ์อาหารและสมุนไพรเพื่อสุขภาพที่ถูกต้อง สามารถเลือกใช้ และแนะนำการใช้ได้อย่างเหมาะสม 2. เพื่อเปิดบทบาทหน้าที่ด้านการบริการวิชาการของคณะเภสัชศาสตร์ ในด้านที่เกี่ยวกับอาหารเสริมสุขภาพ</t>
  </si>
  <si>
    <t>มีผู้สนใจเข้าร่วมโครงการไม่น้อยกว่า 80 คน</t>
  </si>
  <si>
    <t>โครงการประชุมวิชาการ ระดับนานาชาติเรื่อง Patient safty ; From  product to patient care and translation research</t>
  </si>
  <si>
    <t>โครงการประชุมวิชาการภาคีเครือข่ายเพื่อเผยแพร่ผลงานวิชาการ 3 สถาบัน</t>
  </si>
  <si>
    <t>โครงการรองรับงานบริการวิชาการแก่ชุมชน</t>
  </si>
  <si>
    <t>7.36(1)</t>
  </si>
  <si>
    <r>
      <t xml:space="preserve">โครงการพัฒนาหน่วยข้อมูลยาและสุขภาพ  </t>
    </r>
    <r>
      <rPr>
        <b/>
        <sz val="14"/>
        <color indexed="10"/>
        <rFont val="Angsana New"/>
        <family val="1"/>
      </rPr>
      <t>(หน.กลุ่มเภสัชกรรมปฏิบัติพิจารณารายการปรับลดวงเงินเหลือ 30,000 บาท)</t>
    </r>
  </si>
  <si>
    <t>1. เปิดให้บริการข้อมูลข่าวสารด้านยาและอื่นๆกับบุคลากรทั่วไป
2. เพื่อให้นักศึกษามีทักษะในการประกอบวิชาชีพ เพิ่มศักยภาพในการพัฒนางานด้านการบริบาลทางเภสัชกรรม
3. เพื่อสร้างความร่วมมือกับแหล่งฝึกปฏิบัติงานวิชาชีพอันจะนำไปสู่การพัฒนาวิชาชีพและเพิ่มคุณภาพของการบริการทางเภสัชสนเทศในระบบสาธารณสุข
5. เพื่อเป็นแนวทางให้เภสัชกร เข้าไปริเริ่มงานด้านการบริบาลเภสัชกรรมอื่น ๆ  
6. เพื่อแสดงบทบาทแในการให้บริการข้อมูลด้านยาแก่สังคม ในฐานะเป็นศูนย์กลางการศึกษาทางเภสัชศาสตร์ในภูมิภาคแห่งนี้</t>
  </si>
  <si>
    <t xml:space="preserve">1.เป็นศูนย์แม่ข่ายของงานบริการสารสนเทศ ในการเป็นแหล่งข้อมูลด้านยา
2. นักศึกษามีทักษะในตอบคำถามด้านเภสัชสนเทศ เพิ่มศักยภาพในการพัฒนางานด้านการบริบาลทางเภสัชกรรมและเป็นการเพิ่มระดับมาตรฐานของบัณฑิต
</t>
  </si>
  <si>
    <t xml:space="preserve"> - ค่าจ้างเหมาจัดทำเอกสาร</t>
  </si>
  <si>
    <t xml:space="preserve"> - ค่าวัสดุในการจัดทำฐานข้อมูลและให้บริการเภสัชสนเทศ</t>
  </si>
  <si>
    <t>แผนงานทำนุบำรุงศิลปวัฒนธรรม</t>
  </si>
  <si>
    <t>24</t>
  </si>
  <si>
    <t>โครงการรวบรวมและจัดทำฐานข้อมูลตัวอย่างพรรณไม้แห้งและเครื่องยาไทยภาคอีสาน</t>
  </si>
  <si>
    <t>25</t>
  </si>
  <si>
    <t>โครงการจัดทำมาตรฐานตำรับยาสมุนไพร UBU Specification Series 1 : ตำรับยาแก้ไข้จันทน์ลีลา</t>
  </si>
  <si>
    <t>26</t>
  </si>
  <si>
    <t>โครงการส่งเสริมจรรยาบรรณวิชาชีพเภสัชกรรม (ขอ 150,000 บาท ปรับลดเป็น 100,000 บาท</t>
  </si>
  <si>
    <t xml:space="preserve"> - ค่าตอบแทนวิทยากร (3ชม.x1200บ.x1คน)</t>
  </si>
  <si>
    <t xml:space="preserve"> - ค่าเดินทางวิทยากร (7000บ.x1คน)</t>
  </si>
  <si>
    <t xml:space="preserve"> - ค่าอาหารกลางวันวันที่ 1 (100คนx35บ.x1มื้อ)</t>
  </si>
  <si>
    <t xml:space="preserve"> - ค่าอาหารกลางวันวันที่ 2-3 (100คนx80บ.x4มื้อ)</t>
  </si>
  <si>
    <r>
      <t xml:space="preserve"> </t>
    </r>
    <r>
      <rPr>
        <sz val="13"/>
        <color indexed="18"/>
        <rFont val="Angsana New"/>
        <family val="1"/>
      </rPr>
      <t>- ค่าที่พักอาจารย์/นศ. (300บ.x100คนx1คืน)</t>
    </r>
  </si>
  <si>
    <t xml:space="preserve"> - ค่าที่พัก พขร.เหมาจ่าย (500บ.x1คืน)</t>
  </si>
  <si>
    <t xml:space="preserve"> - อาหารว่างวันที่ 1 (100คนx25บ.x1มื้อ)</t>
  </si>
  <si>
    <t xml:space="preserve"> - อาหารว่างวันที่ 2-3 (100คนx35บ.x2มื้อ)</t>
  </si>
  <si>
    <t xml:space="preserve"> - น้ำมันเชื้อเพลิง</t>
  </si>
  <si>
    <t>27</t>
  </si>
  <si>
    <t>โครงการเภสัชกร ม.อุบลฯ คนเก่ง คนดี (ขอ 170,000 บาท ปรับลดเหลือ 80,000 บาท)</t>
  </si>
  <si>
    <t xml:space="preserve"> - ค่าตอบแทนวิทยากร  </t>
  </si>
  <si>
    <t xml:space="preserve"> - ค่าอาหาร (200คนx60บ.x3มื้อ)</t>
  </si>
  <si>
    <t xml:space="preserve"> - ค่าอาหารว่าง (200คนx10บ.x3มื้อ)</t>
  </si>
  <si>
    <t xml:space="preserve"> - ค่าจ้างเหมาทำป้าย ปชส.</t>
  </si>
  <si>
    <t xml:space="preserve"> - ค่าจ้างเหมารถรับจ้าง(4000บ.x2คันx2เที่ยว)</t>
  </si>
  <si>
    <t>โครงการรองรับงานทำนุบำรุงศิลปวัฒนธรรม</t>
  </si>
  <si>
    <t>โครงการทำบุญวันสถาปนาคณะเภสัชศาสตร์ (ขอ 25,000 บาท ปรับลดเหลือ 20,000 บาท)</t>
  </si>
  <si>
    <t xml:space="preserve"> - ค่าตอบแทนวิทยากร (2ชม.x1000บ.)</t>
  </si>
  <si>
    <t xml:space="preserve"> - ปัจจัยถวายพระ</t>
  </si>
  <si>
    <t xml:space="preserve"> - อาหาร</t>
  </si>
  <si>
    <t xml:space="preserve"> - อาหารว่าง</t>
  </si>
  <si>
    <r>
      <t xml:space="preserve">โครงการจัดตั้งหน่วยผลิตยาสมุนไพร (ขอ 500,000 บาท) </t>
    </r>
    <r>
      <rPr>
        <b/>
        <sz val="14"/>
        <color indexed="10"/>
        <rFont val="Angsana New"/>
        <family val="1"/>
      </rPr>
      <t>ผู้ช่วยคณบดีฝ่ายปฏิบัติการ ปรับลดให้เหลือ 300,000 บาท</t>
    </r>
  </si>
  <si>
    <t xml:space="preserve"> - คชจ.ขึ้นทะเบียนตำรับ</t>
  </si>
  <si>
    <t xml:space="preserve"> - คชจ.ตรวจเชื้อเพื่อขึ้นทะเบียน (ตำรับละ3,000บ.x5ตำรับ)</t>
  </si>
  <si>
    <t xml:space="preserve"> - ค่าจ้างวิศวกรประจำหน่วยฯ (อัตรา 15,000บ./เดือนx12เดือน)</t>
  </si>
  <si>
    <t xml:space="preserve"> - ค่าจ้างพนักงานช่วยผลิต (8,000บ./เดือนx12เดือน)</t>
  </si>
  <si>
    <t xml:space="preserve"> - วัตถุดิบสมุนไพรสำหรับผลิตยาตำรับ</t>
  </si>
  <si>
    <t xml:space="preserve"> - วัคถุดิบสมุนไพรสำหรับผลิตแคปซูลเดี่ยว</t>
  </si>
  <si>
    <t xml:space="preserve"> - วัสดุสำนักงาน (ภาชนะบรรจุ/ฉลาก)</t>
  </si>
  <si>
    <t xml:space="preserve"> - ค่าขนส่งการอาบรังสีและการตลาด</t>
  </si>
  <si>
    <t>แผนงาน</t>
  </si>
  <si>
    <t>เงินงบประมาณแผ่นดิน</t>
  </si>
  <si>
    <t>ร้อยละ</t>
  </si>
  <si>
    <t>เงินรายได้</t>
  </si>
  <si>
    <t>เงินจากแหล่งอื่น</t>
  </si>
  <si>
    <t>รวม</t>
  </si>
  <si>
    <t>ร้อยละ (รวม)</t>
  </si>
  <si>
    <t>สัดส่วนตามแผนกลยุทธ์ทางการเงิน</t>
  </si>
  <si>
    <t>1) แผนงานผลิตบัณฑิต</t>
  </si>
  <si>
    <t>2) แผนงานวิจัย</t>
  </si>
  <si>
    <t>3) แผนงานบริการวิชาการแก่ชุมชน</t>
  </si>
  <si>
    <t>4) แผนงานทำนุบำรุงศิลปวัฒนธรรม</t>
  </si>
  <si>
    <t>โครงการรอเสนอขออนุมัติเพิ่มเติม</t>
  </si>
  <si>
    <t>ลำดับ</t>
  </si>
  <si>
    <t>หน่วยงาน</t>
  </si>
  <si>
    <t>โครงการ</t>
  </si>
  <si>
    <t>วงเงิน</t>
  </si>
  <si>
    <t>หมายเหตุ</t>
  </si>
  <si>
    <t xml:space="preserve">โครงการก่อสร้างอาคารเก็บของเสียจากปฏิบัติการ </t>
  </si>
  <si>
    <t>(ที่ประชุมคณะกรรมการวางแผนการดำเนินงานเห็นชอบให้เสนอของบมหาวิทยาลัยฯ)</t>
  </si>
  <si>
    <t xml:space="preserve"> - ค่าจ้างเหมาก่อสร้างอาคารฯ</t>
  </si>
  <si>
    <t xml:space="preserve">โครงการพัฒนาบุคลากรมุ่งมั่นสู่ความสำเร็จ </t>
  </si>
  <si>
    <t>(เสนอขอปรับเพิ่มในแผนฯ)</t>
  </si>
  <si>
    <t>โครงการวิชาการสัมพันธ์</t>
  </si>
  <si>
    <t xml:space="preserve"> (เบิกจ่ายในโครงการบริการวิชาการฯ)</t>
  </si>
  <si>
    <t xml:space="preserve">โครงการปรับปรุงระบบปรับอากาศห้องพักอาจารย์คณะเภสัชศาสตร์ </t>
  </si>
  <si>
    <t>(เสนอขอปรับแผนฉุกเฉินเนื่องจากเป็นกรณีจำเป็นเร่งด่วน)</t>
  </si>
  <si>
    <t xml:space="preserve">โครงการปรับปรุงระบบความปลอดภัยภายในคณะเภสัชศาสตร์ </t>
  </si>
  <si>
    <t xml:space="preserve">โครงการปรับปรุงอาคารและภูมิทัศน์คณะเภสัชศาสตร์  </t>
  </si>
  <si>
    <t xml:space="preserve"> บาท</t>
  </si>
  <si>
    <t xml:space="preserve">  - ค่าใช้จ่ายในการดำเนินงาน </t>
  </si>
  <si>
    <t xml:space="preserve"> - งบกลางการฝึกปฏิบัติงานวิชาชีพ</t>
  </si>
  <si>
    <r>
      <t xml:space="preserve"> - งบรองรับโครงการย่อยการฝึกปฏิบัติงานวิชาชีพ  </t>
    </r>
    <r>
      <rPr>
        <sz val="14"/>
        <color rgb="FF000099"/>
        <rFont val="Angsana New"/>
        <family val="1"/>
      </rPr>
      <t>ประกอบด้วย</t>
    </r>
  </si>
  <si>
    <t xml:space="preserve"> - เงินรายได้ ป.ตรี   </t>
  </si>
  <si>
    <t xml:space="preserve"> - เงินรายได้บัณฑิตศึกษา  </t>
  </si>
  <si>
    <r>
      <t xml:space="preserve">โครงการรองรับงานทำนุบำรุงศิลปวัฒนธรรม </t>
    </r>
    <r>
      <rPr>
        <sz val="14"/>
        <color rgb="FF000099"/>
        <rFont val="Angsana New"/>
        <family val="1"/>
      </rPr>
      <t>ประกอบด้วย</t>
    </r>
  </si>
  <si>
    <t xml:space="preserve">โครงการทำบุญวันสถาปนาคณะเภสัชศาสตร์ </t>
  </si>
  <si>
    <t xml:space="preserve">โครงการจัดตั้งหน่วยผลิตยาสมุนไพร  </t>
  </si>
  <si>
    <t xml:space="preserve">โครงการเภสัชกร ม.อุบลฯ คนเก่ง คนดี  </t>
  </si>
  <si>
    <t xml:space="preserve">โครงการส่งเสริมจรรยาบรรณวิชาชีพเภสัชกรรม  </t>
  </si>
  <si>
    <t xml:space="preserve">โครงการพัฒนาหน่วยข้อมูลยาและสุขภาพ  </t>
  </si>
  <si>
    <t xml:space="preserve"> - เงินกองทุนส่งเสริมและพัฒนาการผลิตฯ</t>
  </si>
  <si>
    <r>
      <rPr>
        <b/>
        <sz val="14"/>
        <color rgb="FF000099"/>
        <rFont val="Angsana New"/>
        <family val="1"/>
      </rPr>
      <t>โครงการรองรับการผลิตบัณฑิตระดับปริญญาตรี</t>
    </r>
    <r>
      <rPr>
        <sz val="14"/>
        <color rgb="FF000099"/>
        <rFont val="Angsana New"/>
        <family val="1"/>
      </rPr>
      <t xml:space="preserve">  </t>
    </r>
    <r>
      <rPr>
        <sz val="14"/>
        <color rgb="FF1B035D"/>
        <rFont val="Angsana New"/>
        <family val="1"/>
      </rPr>
      <t>- ประกอบด้วย</t>
    </r>
  </si>
  <si>
    <t xml:space="preserve">โครงการเตรียมความพร้อมนักศึกษาก่อนออกฝึกปฏิบัติงานวิชาชีพทั่วไป </t>
  </si>
  <si>
    <t>โครงการเตรียมความพร้อมนักศึกษาก่อนออกฝึกปฏิบัติงานวิชาชีพเฉพาะทาง</t>
  </si>
  <si>
    <t>โครงการวิจัยค้นคว้าเพื่อพัฒนาตนเองของนักศึกษา</t>
  </si>
  <si>
    <t>โครงการพัฒนานักศึกษา  - ประกอบด้วย</t>
  </si>
  <si>
    <r>
      <t xml:space="preserve"> - </t>
    </r>
    <r>
      <rPr>
        <b/>
        <sz val="14"/>
        <color rgb="FF003399"/>
        <rFont val="Angsana New"/>
        <family val="1"/>
      </rPr>
      <t>โครงการรองรับการจัดการเรียนการสอนและพัฒนาหน่วยงานโดยใช้เงินกองทุนฯ</t>
    </r>
    <r>
      <rPr>
        <sz val="14"/>
        <color rgb="FF003399"/>
        <rFont val="Angsana New"/>
        <family val="1"/>
      </rPr>
      <t xml:space="preserve"> ประกอบด้วย</t>
    </r>
  </si>
  <si>
    <r>
      <t xml:space="preserve">โครงการพัฒนาบุคลากรมุ่งมั่นสู่ความสำเร็จ (วงเงิน 286,200 บาท) </t>
    </r>
    <r>
      <rPr>
        <b/>
        <u/>
        <sz val="14"/>
        <color rgb="FF003399"/>
        <rFont val="Angsana New"/>
        <family val="1"/>
      </rPr>
      <t>เตรียมเสนอขอปรับแผนเพิ่ม</t>
    </r>
  </si>
  <si>
    <t xml:space="preserve">โครงการพัฒนาระบบอาจารย์ที่ปรึกษา  </t>
  </si>
  <si>
    <r>
      <t xml:space="preserve"> </t>
    </r>
    <r>
      <rPr>
        <b/>
        <sz val="13"/>
        <rFont val="Angsana New"/>
        <family val="1"/>
      </rPr>
      <t>- ค่าที่พักอาจารย์/นศ. (300บ.x100คนx1คืน)</t>
    </r>
  </si>
  <si>
    <t xml:space="preserve">โครงการพัฒนาระบบประกันคุณภาพการศึกษาคณะเภสัชศาสตร์ </t>
  </si>
  <si>
    <t xml:space="preserve">โครงการปรับปรุง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สาขา 2 </t>
  </si>
  <si>
    <r>
      <rPr>
        <b/>
        <sz val="14"/>
        <rFont val="Angsana New"/>
        <family val="1"/>
      </rPr>
      <t xml:space="preserve">โครงการพัฒนานักศึกษา </t>
    </r>
    <r>
      <rPr>
        <sz val="14"/>
        <rFont val="Angsana New"/>
        <family val="1"/>
      </rPr>
      <t xml:space="preserve"> - ประกอบด้วย</t>
    </r>
  </si>
  <si>
    <t xml:space="preserve">โครงการหมอยาเคลื่อนที่  </t>
  </si>
  <si>
    <t>โครงการที่กลุ่มวิชา/กลุ่มงานเสนอขออนุมัติปรับเพิ่มในแผนปฏิบัติการคณะเภสัชศาสตร์ ประจำปี 2554</t>
  </si>
  <si>
    <t>โครงการสนับสนุนการเผยแพร่ผลงานวิจัยทางวารสารเภสัชศาสตร์อีสาน</t>
  </si>
  <si>
    <t>แหล่งเงินที่เสนอขอปรับ</t>
  </si>
  <si>
    <t>เงินกองทุนส่งเสริมและพัฒนาการผลิตบัณฑิต</t>
  </si>
  <si>
    <t>งานคอมพิวเตอร์และสารสนเทศ</t>
  </si>
  <si>
    <t>งานบริหาร</t>
  </si>
  <si>
    <t>รวมเป็นเงินทั้งสิ้น</t>
  </si>
  <si>
    <t>โครงการสวัสดิการค่าตอบแทนตามผลการปฏิบัติงานและภาระงานของบุคลากร (ขออนุมัติปรับเพิ่มวงเงินจากเดิม 1,400,000 บาท เป็น 1,600,000 บาท) โดยเพิ่มจากเดิม 200,000 บาท</t>
  </si>
  <si>
    <t>รองคณบดีฝ่ายแผนและวิจัยเสนอปรับลดจากที่เสนอ 120,000 บาท สามารถปรับลดเหลือ 65,000 บาท</t>
  </si>
  <si>
    <t>โครงการปรับปรุงหลักสูตรเภสัชศาสตรบัณฑิตและมหาบัณฑิต  (ขออนุมัติปรับเพิ่มวงเงินจากเดิม 45,600 บาท เป็น 140,000 บาท) โดยเพิ่มจากเดิม 94,400 บาท</t>
  </si>
  <si>
    <t>ค่าตอบแทนใช้สอยฯ เงินกองทุนที่มีปัจจุบัน</t>
  </si>
  <si>
    <t>ให้รองรับการขึงตาข่ายกันนก/อุดรอยรั่วฝ้าเพดาน/กระเทาะทรายล้างรอบอาคารที่หมดอายุ ขอขยายวงเงินเกินแผนปฏิบัติการ เนื่องจากเป็นความจำเป็นฉุกเฉินเรื่องสวัสดิภาพและความปลอดภัยของบุคลการ และเนื่องจากปี 2554 รายรับมีจำนวนลดลง จึงจำเป็นต้องกำหนดแผนการใช้งบประมาณเกินประมาณการรายรับของปีงบประมาณ 2554</t>
  </si>
  <si>
    <t>3) งบประมาณที่ให้ใช้เกินแผนปฏิบัติการ</t>
  </si>
  <si>
    <t>2) ปรับลดงบประมาณค่าตอบแทนฯ ในแผนปฏิบัติการ</t>
  </si>
  <si>
    <t>มติที่ประชุมเห็นชอบดังนี้</t>
  </si>
  <si>
    <t>1) ให้ปรับเพิ่มงบประมาณที่ให้ปรับเพิ่มในแผนปฏิบัติการเพื่อรองรับโครงการที่ 1/2/3/6/7</t>
  </si>
  <si>
    <t>ขอขยายวงเงินเกินแผนปฏิบัติการ เนื่องจากเป็นความจำเป็นฉุกเฉินเรื่องสวัสดิภาพและความปลอดภัยของบุคลากร และเนื่องจากปี 2554 รายรับมีจำนวนลดลง จึงจำเป็นต้องกำหนดแผนการใช้งบประมาณเกินประมาณการรายรับของปีงบประมาณ 2554</t>
  </si>
  <si>
    <t xml:space="preserve">เตรียมกำหนดแนวทางการขยายจำนวนรับนักศึกษา  เช่น พิจารณาความพร้อมในการเปิดรับผู้เข้าศึกษาโครงการพิเศษ และพิจารณาการเปิดหลักสูตรระยะสั้นประเภทต่างๆ เพื่อเพิ่มรายได้ </t>
  </si>
  <si>
    <t>ที่ประชุมคณะกรรมการประจำคณะฯ เห็นชอบให้ใช้งบในลักษณะหมุนเวียน/โดยบรรจุโครงการในแผนปฏิบัติการ แต่ไม่เบิกจ่ายโครงการรายปี (เบิกจ่ายจากงบกลางเป็นลักษณะเงินหมุนเวียนยืม)</t>
  </si>
  <si>
    <t>โครงการเงินยืมเพื่อซื้อคอมพิวเตอร์และอุปกรณ์ประกอบเพื่อเพิ่มประสิทธิภาพการทำงานของอาจารย์และบุคลากรคณะเภสัชศาสตร์ ประจำปีงบประมาณ 2554  วงเงิน 320,000 บาท</t>
  </si>
  <si>
    <t>โครงการปรับปรุงหลักสูตรเภสัชศาสตรบัณฑิตและหลักสูตรบัณฑิตศึกษาเพื่อให้เป็นไปตามมาตรฐานคุณวุฒิอุดมศึกษา  (ได้รับอนุมัติงบประมาณครั้งที่ 1 จำนวน 45,600 บาท และได้รับอนุมัติให้ปรับวงเงินเพิ่มเป็น 140,000 บาท)</t>
  </si>
  <si>
    <r>
      <t xml:space="preserve">โครงการพัฒนาบุคลากรมุ่งมั่นสู่ความสำเร็จ ( </t>
    </r>
    <r>
      <rPr>
        <b/>
        <u/>
        <sz val="14"/>
        <color rgb="FF003399"/>
        <rFont val="Angsana New"/>
        <family val="1"/>
      </rPr>
      <t>ได้รับอนุมัติให้ปรับแผนโดยได้รับจัดสรรงบประมาณ จำนวน 300,000 บาท)</t>
    </r>
  </si>
  <si>
    <t>โครงการปรับปรุงระบบปรับอากาศห้องพักอาจารย์คณะเภสัชศาสตร์   ( ได้รับอนุมัติให้ปรับแผนโดยได้รับจัดสรรงบประมาณ จำนวน980,000 บาท)</t>
  </si>
  <si>
    <t>โครงการปรับปรุงอาคารและภูมิทัศน์คณะเภสัชศาสตร์   ( ได้รับอนุมัติให้ปรับแผนโดยได้รับจัดสรรงบประมาณ จำนวน500,000 บาท)</t>
  </si>
  <si>
    <t>7.37(5)</t>
  </si>
  <si>
    <t>7.37(6)</t>
  </si>
  <si>
    <t>แผนงานรองรับความจำเป็นเร่งด่วน</t>
  </si>
  <si>
    <t>ก.  เงินกองทุนส่งเสริมและพัฒนาการผลิตบัณฑิต</t>
  </si>
  <si>
    <t xml:space="preserve">นักศึกษาเข้าใจถึงความสำคัญ และบทบาท ของรายวิชา ชีวเภสัช ศาสตร์ที่มี ความเกี่ยว ข้องกับวิชา ชีพในอนาคต 
</t>
  </si>
  <si>
    <t xml:space="preserve">1.ไม่น้อยกว่าร้อยละ  70               2. ไม่น้อยกว่าร้อยละ  60 </t>
  </si>
  <si>
    <t xml:space="preserve">1. นักศึกษามีทักษะในการแสวงหาความรู้เพิ่มเติมด้วยตนเอง 
2. อาจารย์มีทักษะในการสร้างบรรยากาศของการเรียนรู้ในชั้นเรียน
3. อาจารย์มีทักษะในการจัดการเรียนการสอนโดยเน้นผู้เรียนเป็นสำคัญ
</t>
  </si>
  <si>
    <t>1. เพื่อผลิตบัณฑิตให้มีทักษะในการใฝ่รู้และแสวง หาความรู้ด้วยตนเอง
2. เพื่อผลิตบัณฑิตให้มีหลักคิดอย่างเป็นเหตุเป็นผลเสริมการเรียนรู้ตามหลักวิชา
3. เพื่อให้อาจารย์ได้พัฒนาทักษะการจัดการเรียนการสอนโดยเน้นผู้เรียนเป็นสำคัญ</t>
  </si>
  <si>
    <t>1.ร้อยละ 90 2. ร้อยละ  100   
3. ร้อยละ 95</t>
  </si>
  <si>
    <t>1. ร้อยละ 
2. ร้อยละ 
3. ร้อยละ 95</t>
  </si>
  <si>
    <t>1.เพื่อดำเนินการ  ออกข้อสอบ จัดการสอบ ประเมินผล  การสอบ     2.เพื่อวัดผลสัมฤทธิ์   ในการเรียนการสอนตามหลักสูตรเภสัชศาสตรบัณฑิต       3.เพื่อเตรียมความพร้อมด้านความรู้และทักษะวิชาชีพเภสัชกรรมให้แก่นักศึกษา</t>
  </si>
  <si>
    <t>1.มีการจัดสอบและการประเมิน ผลสำเร็จตาม  วัตถุ ประสงค์ 
2.นักศึกษามี ความพร้อมใน การสอบความรู้ ผู้ขอขึ้นทะ เบียนเป็นผู้ประกอบวิชาชีพฯ สามารถสอบผ่านความรู้ผู้ขอขึ้นทะเบียนเป็นผู้ประกอบวิชาชีพฯ</t>
  </si>
  <si>
    <t xml:space="preserve">1.ร้อยละของนักศึกษาที่สอบผ่านการสอบประมวลความรอบรู้ในครั้งแรก
2. ร้อยละของข้อสอบที่อยู่ในระดับดี (มีความยากง่ายปานกลางและมีอำนาจการจำแนกดี)  </t>
  </si>
  <si>
    <t>1.ร้อยละ 85
2.ร้อยละ 60</t>
  </si>
  <si>
    <t xml:space="preserve">1. ร้อยละ 
2. ร้อยละ  </t>
  </si>
  <si>
    <t xml:space="preserve">ร้อยละ </t>
  </si>
  <si>
    <t>ร้อยละ 100</t>
  </si>
  <si>
    <t xml:space="preserve">1. ร้อยละ 80
2. ร้อยละ 80 </t>
  </si>
  <si>
    <t xml:space="preserve">1. ร้อยละ 
2.ร้อยละ </t>
  </si>
  <si>
    <t>1. คณาจารย์เข้าร่วมโครงการอย่าง
2. นักศึกษาเภสัชศาสตร์ สาขาเฉพาะทางเภสัชกรรมปฏิบัติเข้าร่วมโครงการ</t>
  </si>
  <si>
    <t>ร้อยละ 50</t>
  </si>
  <si>
    <t>1. เพิ่มขึ้นร้อยละ 5
2. ระดับความพึงพอใจฯ ระดับ 3.5 ขึ้นไป</t>
  </si>
  <si>
    <t xml:space="preserve">1. เพื่อจัดหาวัสดุ ตำรา  วารสารทางวิชาการให้เพียงพอต่อความต้องการ และครบถ้วนตามรายวิชาในหลักสูตร
2. เพื่อจัดหาเอกสารอ้างอิงทางเภสัชศาสตร์ให้เป็นปัจจุบันและเพียงพอต่อความต้องการ </t>
  </si>
  <si>
    <t xml:space="preserve">1. เพื่อจัดการเรียนการสอนระดับบัณฑิตศึกษา
2. เพื่อติดตามและประเมินผลการเรียนระดับบัณฑิตศึกษา
</t>
  </si>
  <si>
    <t xml:space="preserve">1.ร้อยละ 50 
2.ร้อยละ 80 </t>
  </si>
  <si>
    <t xml:space="preserve">1.ร้อยละ 
2.ร้อยละ </t>
  </si>
  <si>
    <t xml:space="preserve"> เดือนตุลาคม 2552 - กันยายน 2553</t>
  </si>
  <si>
    <t>คนต่อปี</t>
  </si>
  <si>
    <t xml:space="preserve"> เดือนตุลาคม 2553 - กันยายน 2554</t>
  </si>
  <si>
    <t xml:space="preserve">1. ร้อยละ   2. ร้อยละ   3. ร้อยละ </t>
  </si>
  <si>
    <t xml:space="preserve">1.ร้อยละ   2.ร้อยละ </t>
  </si>
  <si>
    <t>เพื่อพัฒนาแนวคิดของ นักศึกษาให้ เข้าใจถึงความสำคัญ  และบทบาท ของวิชาชีวเภสัชศาสตร์ ที่มีความเกี่ยวข้องกับ วิชาชีพในอนาคต</t>
  </si>
  <si>
    <t>1. ร้อยละของนักศึกษาชั้นปีที่ 2 ที่เข้ารับการอบรม
2. นักศึกษา ที่เข้ารับการอบรมมีความ เข้าใจบทบาทของรายวิชาชีวเภสัชศาสตร์และความเกี่ยวข้องกับวิชาชีพในอนาคตมากขึ้น</t>
  </si>
  <si>
    <t>1. เพื่อให้นักศึกษา สาขาเฉพาะทางเภสัชกรรมปฏิบัติ ได้แลกเปลี่ยนเรียนรู้กับรุ่นพี่และคณาจารย์ เกี่ยวกับบทบาทหน้าที่ของเภสัชกรในงานเภสัชกรรมคลินิก    2. เพื่อเพิ่มวุฒิภาวะทางอารมณ์ ภาวะผู้นำแก่นักศึกษา</t>
  </si>
  <si>
    <t>ยุทธศาสตร์ที่ 6 (6.1)</t>
  </si>
  <si>
    <t>1. เพื่อให้การดำเนิน งานประกันคุณภาพ การศึกษาสาขาเภสัช ศาสตร์เป็น ไปด้วยความต่อ เนื่องและการดำเนิน งานตามภารกิจหลักมีคุณภาพ    2.เพื่อปรับปรุงดัชนีชี้วัดให้สอดคล้องกับวิสัยทัศน์และพันธกิจคณะฯ</t>
  </si>
  <si>
    <t>เกิดการพัฒนาคุณภาพการ ศึกษาของคณะเภสัชศาสตร์อย่างต่อเนื่อง  มีระบบการผลิตบัณฑิตที่ได้มาตรฐานเป็นที่ยอมรับจากหน่วยงานภายนอก</t>
  </si>
  <si>
    <t>1. มีการคู่มือการประกันคุณภาพ       2. มีแฟ้มสะสมงานครบตามองค์ประกอบคุณภาพ       3. มีรายงานการประเมินตนเอง         4. มีการตรวจประเมินคุณภาพอย่างน้อย   ปีละ 1 ครั้ง</t>
  </si>
  <si>
    <t>1. เล่ม       2. แฟ้ม      3. เล่ม       4. ครั้ง</t>
  </si>
  <si>
    <t>ครุภัณฑ์ที่ชำรุดได้รับการซ่อม แซมให้ใช้งานได้ตามปกติ</t>
  </si>
  <si>
    <t>ครุภัณฑ์ที่ชำรุดได้รับการซ่อมแซมอย่างน้อย 3 รายการ</t>
  </si>
  <si>
    <t>อย่างน้อย 3 รายการ</t>
  </si>
  <si>
    <t>เดือนตุลาคม 2552 - กันยายน 2553</t>
  </si>
  <si>
    <t>ยุทธศาสตร์ที่ 2 (2.8)</t>
  </si>
  <si>
    <t>เพื่อซ่อมแซม ครุภัณฑ์ วิทยาศาสตร์ ให้เพียงพอต่อการใช้งานการเรียน การสอนและงานวิจัยของนักศึกษาและอาจารย์</t>
  </si>
  <si>
    <t xml:space="preserve"> รายการ</t>
  </si>
  <si>
    <t>เพื่อมีงบประมาณสมทบการดำเนินการจ้างเหมาทำความสะอากอาคารคณะเภสัชศาสตร์ ซึ่งส่วนหนึ่งได้รับการสนับสนุนงบประมาณจากมหาวิทยาลัยฯ</t>
  </si>
  <si>
    <t>อาคารคณะเภสัชศาสตร์และอาคารอื่นๆภายใต้การดูแลของคณะเภสัชศาสตร์มีความสะอาดพร้อมรองรับการทำงาน</t>
  </si>
  <si>
    <t>มีงบประมาณเพียงพอรองรับการจ้างเหมาทำความสะอาด</t>
  </si>
  <si>
    <t>งบประมาณเพียงพอ</t>
  </si>
  <si>
    <t>-</t>
  </si>
  <si>
    <t xml:space="preserve">1.1 จำนวนหลักสูตรที่ปรับปรุงตามเกณฑ์มาตรฐานการอุดมศึกษาร้อยละ 100
</t>
  </si>
  <si>
    <t>1.1 ร้อยละ 100</t>
  </si>
  <si>
    <t>1. เพื่อให้หลักสูตรรอง รับการผลิต บัณฑิตให้มีทักษะในการใฝ่รู้และแสวง หาความรู้ด้วยตนเอง มีหลักคิดอย่างเป็นเหตุเป็น  ผลซึ่งจะเสริม สร้างการเรียน รู้ตามหลักวิชา
3. เพื่อส่งเสริมให้อาจารย์ได้พัฒนาทักษะการจัดการเรียนการสอนโดยเน้นผู้เรียนเป็นสำคัญ</t>
  </si>
  <si>
    <t>หลักสูตรที่คณะรับผิดชอบเป็นไปตามเกณฑ์มาตรฐานหลักสูตรระดับปริญญาตรี และระดับบัณฑิตศึกษา</t>
  </si>
  <si>
    <t xml:space="preserve">จำนวนหลักสูตรที่ปรับปรุงตามเกณฑ์มาตรฐานการอุดมศึกษาร้อยละ 100
</t>
  </si>
  <si>
    <t>เพื่อผลิตบัณฑิตที่มีคุณภาพตามเกณฑ์วิชา ชีพและเป็นบัณฑิตที่พึงประสงค์ของสังคมไทย</t>
  </si>
  <si>
    <t>จำนวนบัณฑิตที่ได้รับการฝึกปฏิบัติงาน</t>
  </si>
  <si>
    <t xml:space="preserve">จำนวนบบัณฑิตที่ผ่านการฝึกปฏิบัติงานวิชาชีพทั่วไป และการฝึกปฏิบัติงานวิชาชีพเฉพาะทาง </t>
  </si>
  <si>
    <t>ร้อยละ 80</t>
  </si>
  <si>
    <t>(1) งบกลางการฝึกปฏิบัติงานวิชาชีพ</t>
  </si>
  <si>
    <t xml:space="preserve">นักศึกษามีความรู้ในงานด้านเภสัชกรรม เพิ่มขึ้นอย่างน้อย 3.5 จาก 5 ระดับ       </t>
  </si>
  <si>
    <t>ระดับ</t>
  </si>
  <si>
    <r>
      <t xml:space="preserve">โครงการมัชฌิมนิเทศพัฒนาศักยภาพนักศึกษาสู่วิชาชีพ  </t>
    </r>
    <r>
      <rPr>
        <sz val="12"/>
        <color indexed="18"/>
        <rFont val="Angsana New"/>
        <family val="1"/>
      </rPr>
      <t xml:space="preserve"> </t>
    </r>
  </si>
  <si>
    <t xml:space="preserve"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ความพึงพอใจของผู้เข้าร่วมการจัดกิจกรรมไม่ต่ำกว่าระดับปานกลาง (ระดับ 3.0)
</t>
  </si>
  <si>
    <t xml:space="preserve">1.ร้อยละ 60
2.ความพึงพอใจของผู้เข้าร่วมการจัดกิจกรรมไม่ต่ำกว่าระดับปานกลาง (ระดับ 3.0)
</t>
  </si>
  <si>
    <t>1. ร้อยละ   2. ระดับความพึงพอใจ</t>
  </si>
  <si>
    <t>1.เพื่อให้นักศึกษามีประสบการณ์ เชิงสังคมและ มีทัศนคติที่ดี ในการทำงาน ร่วมกับผู้อื่น
2. เพื่อให้นักศึกษาทราบ แนวทางในการประกอบวิชาชีพแต่ละสาขา และค้นหาตนเองเพื่อตัดสินใจเลือกเรียนในสาขาเฉพาะทางได้อย่างเหมาะสมตามความต้องการของนักศึกษา</t>
  </si>
  <si>
    <t>นักศึกษามีทัศนคติที่ดีในการทำงาน สามารถตัดสินใจเลือกเรียนสาขาเฉพาะได้ตรงตามความต้องการ</t>
  </si>
  <si>
    <t>1. เพื่อให้นักศึกษามีประสบการณ์เชิงสังคมและมีทัศนคติที่ดีในการทำงานร่วมกับผู้อื่น
2. เพื่อให้นักศึกษาได้ฝึกฝนและเพิ่มพูนทักษะการพูดในที่ชุมชน
3. เพื่อให้นักศึกษาได้พัฒนาบุคลิกภาพให้เหมาะสม</t>
  </si>
  <si>
    <t>1.เชิงปริมาณ  คือ จำนวนนักศึกษาที่เข้าร่วมกิจกรรมไม่ต่ำกว่าร้อย  ละ 60
2.เชิงคุณภาพ  คือ ความพึงพอใจของผู้เข้าร่วมการจัดกิจกรรมไม่ต่ำกว่าระดับปานกลาง (ระดับ 3.0)</t>
  </si>
  <si>
    <t>1.ไม่ต่ำกว่าร้อย  ละ 60
2.ความพึงพอใจของผู้เข้าร่วมการจัดกิจกรรมไม่ต่ำกว่าระดับปานกลาง (ระดับ 3.0)</t>
  </si>
  <si>
    <t xml:space="preserve">1. นักศึกษามีประสบ การณ์เชิงสังคม และมีความมั่นใจในการก้าวเข้าสู่ชีวิตการทำงาน
2. นักศึกษาได้พัฒนาบุคลิกภาพ ให้เหมาะ สมกับ หน้าที่การทำงาน
</t>
  </si>
  <si>
    <r>
      <rPr>
        <b/>
        <sz val="14"/>
        <color rgb="FF003399"/>
        <rFont val="Angsana New"/>
        <family val="1"/>
      </rPr>
      <t xml:space="preserve"> - โครงการพัฒนานักศึกษา  </t>
    </r>
    <r>
      <rPr>
        <sz val="14"/>
        <color rgb="FF003399"/>
        <rFont val="Angsana New"/>
        <family val="1"/>
      </rPr>
      <t>ประกอบด้วย</t>
    </r>
  </si>
  <si>
    <r>
      <t xml:space="preserve">โครงการแสดงความยินดีกับบัณฑิตและมหาบัณฑิต </t>
    </r>
    <r>
      <rPr>
        <sz val="12"/>
        <color indexed="18"/>
        <rFont val="Angsana New"/>
        <family val="1"/>
      </rPr>
      <t xml:space="preserve"> </t>
    </r>
  </si>
  <si>
    <t xml:space="preserve">เพื่อให้นักศึกษาได้รับความรู้ ความเข้าใจในเรื่องระบบการศึกษาในคณะเภสัชศาสตร์ ได้รับคำแนะนำ พร้อมทั้งมีโอกาสซักถามข้อสงสัย ได้รู้จักคณาจารย์ ก่อนการเข้าศึกษาในหลักสูตรเภสัชศาสตรบัณฑิต </t>
  </si>
  <si>
    <t>นักศึกษาใหม่มีความเข้าใจ ในการเรียนรู้ และสามารถปรับตัวในศึกษาตามหลักสูตรเภสัชศาสตรบัณฑิตของมหาวิทยาลัยอุบลราชธานีได้</t>
  </si>
  <si>
    <t>1. เชิงปริมาณ คือ จำนวนนักศึกษา 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  3 จากคะแนนเต็ม 5 คะแนน</t>
  </si>
  <si>
    <t>1. ไม่ต่ำกว่าร้อยละ 60
2. ความพึงพอใจของผู้เข้าร่วมการจัดกิจกรรมไม่ต่ำกว่า  3 จากคะแนนเต็ม 5 คะแนน</t>
  </si>
  <si>
    <t>1.ร้อยละ    2. ระดับความพึงพอใจ</t>
  </si>
  <si>
    <t xml:space="preserve">รณรงค์และเสริมสร้างความร่วมมือระหว่างเภสัชกรในทุกกลุ่มสาขาวิชาชีพ ในการจัดกิจกรรมเพื่อการคุ้มครองผู้บริโภคด้านยาและสุขภาพ
</t>
  </si>
  <si>
    <t xml:space="preserve">ประชาชนได้รับบริการสุขภาพและความรู้ด้านยาที่เป็นประโยชน์
จากเภสัชกรในทั้งภาครัฐและเอกชนในจังหวัด  </t>
  </si>
  <si>
    <t>1. จำนวนผู้เข้าร่วมโครงการไม่น้อยกว่า ร้อยละ 60 
2. ความพึงพอใจผู้เข้าร่วมงานไม่ต่ำกว่าคะแนน 3 จาก 5 คะแนน</t>
  </si>
  <si>
    <t>1.ไม่น้อยกว่า ร้อยละ 60 
2. ความพึงพอใจผู้เข้าร่วมงานไม่ต่ำกว่าคะแนน 3 จาก 5 คะแนน</t>
  </si>
  <si>
    <t>1.ร้อยละ    2.ระดับความพึงพอใจ</t>
  </si>
  <si>
    <t>1. เพื่อแสดงความยินดีกับบัณฑิตและมหาบัณฑิต คณะเภสัชศาสตร์           2. เพื่อเสริม สร้างสัมพันธภาพอันดีระหว่างบัณฑิต นักศึกษา คณาจารย์ และบุคลากรคณะเภสัชศาสตร์</t>
  </si>
  <si>
    <t>เกิดความ สัมพันธ์อันดีระหว่างอาจารย์ บุคลากร  บัณฑิตที่จบการศึกษาและนักศึกษาได้แลกเปลี่ยนประสบการณ์ระหว่างบัณฑิต  นักศึกษา และอาจารย์</t>
  </si>
  <si>
    <t xml:space="preserve">1. จำนวนนักศึกษา อาจารย์ที่เข้าร่วมกิจกรรมไม่ต่ำกว่าร้อยละ 60
2. มีกิจกรรมที่คณาจารย์และบุคลากรได้ถ่ายรูปและแสดงความยินดีกับบัณฑิตและมหาบัณฑิต </t>
  </si>
  <si>
    <t xml:space="preserve">1. ไม่ต่ำกว่าร้อยละ 60
2. มีกิจกรรม </t>
  </si>
  <si>
    <t>1.ร้อยละ     2. มี/ไม่มี</t>
  </si>
  <si>
    <t>1. เพื่อพัฒนาศักยภาพของแกนนำนักศึกษาให้มีความเป็นผู้นำและสามารถทำงานร่วมกันเป็นทีมได้อย่างมีประสิทธิภาพ
2. เพื่อให้นักศึกษาสามารถวางแผนการทำงานได้อย่างเหมาะสม</t>
  </si>
  <si>
    <t>นักศึกษามีภาวะผู้นำ รู้ตักตนเองและทีมงาน สามารถทำงานร่วมกันเป็นทีมได้</t>
  </si>
  <si>
    <t xml:space="preserve">1. จำนวนแกนนำนักศึกษาที่เข้าร่วมโครงการอย่างน้อยร้อยละ 50 
2. ความพึงพอใจของผู้เข้าร่วมการจัดกิจกรรมทั้งอาจารย์ นักศึกษาไม่ต่ำกว่าปานกลาง (ระดับ 3.0)
</t>
  </si>
  <si>
    <t xml:space="preserve">1.อย่างน้อยร้อยละ 50 
2. ความพึงพอใจของผู้เข้าร่วมการจัดกิจกรรมทั้งอาจารย์ นักศึกษาไม่ต่ำกว่าปานกลาง (ระดับ 3.0)
</t>
  </si>
  <si>
    <t>1. เพื่อให้นักศึกษาได้แสดงถึงความกตัญญูกตเวทีที่มีต่อคณาจารย์
2. เพื่อประกาศเกียรติคุณและมอบรางวัลแก่นักศึกษาที่เรียนดีและกิจกรรมดีเด่น</t>
  </si>
  <si>
    <t xml:space="preserve">เกิดความ สัมพันธ์อันดีระหว่างนักศึกษาและคณาจารย์ อันเป็นผลต่อขวัญและกำลังใจในการศึกษา
</t>
  </si>
  <si>
    <t>1.จำนวนนักศึกษา อาจารย์ที่เข้าร่วมกิจกรรมไม่ต่ำกว่าร้อยละ 60
2.ความพึงพอใจของผู้เข้าร่วมการจัดกิจกรรมทั้งอาจารย์ นักศึกษาไม่ต่ำกว่าคะแนน 3 จาก 5 คะแนน</t>
  </si>
  <si>
    <t>1.ไม่ต่ำกว่าร้อยละ 60
2.ความพึงพอใจไม่ต่ำกว่าคะแนน 3 จาก 5 คะแนน</t>
  </si>
  <si>
    <t>1. ร้อยละ   2.ระดับความพึงพอใจ</t>
  </si>
  <si>
    <t>เพื่อรองรับการดำเนิน งานตามภารกิจหลักของคณะฯ</t>
  </si>
  <si>
    <t>การดำเนินงานตามภารกิจหลักเป็นไปอย่างมีประสิทธิภาพ คล่องตัว</t>
  </si>
  <si>
    <t>มีงบประมาณรองรับการดำ เนินงานในแต่ละกิจกรรมตามภารกิจหลักอย่างครบ ถ้วนตามแผนที่กำหนด</t>
  </si>
  <si>
    <t>ยุทธศาสตร์ที่ 2 (2.6), (2.7)</t>
  </si>
  <si>
    <t xml:space="preserve">  เดือนตุลาคม 2553 - กันยายน 2554</t>
  </si>
  <si>
    <t>งบประมาณมีเพียงพอในการสนับสนุน  การดำเนิน  งานตามภารกิจหลัก</t>
  </si>
  <si>
    <t>(1) เงินกองทุนส่งเสริมและพัฒนาการผลิตบัณฑิตคณะเภสัชศาสตร์</t>
  </si>
  <si>
    <r>
      <rPr>
        <b/>
        <sz val="14"/>
        <color rgb="FF003399"/>
        <rFont val="Angsana New"/>
        <family val="1"/>
      </rPr>
      <t>(2)</t>
    </r>
    <r>
      <rPr>
        <sz val="14"/>
        <color rgb="FF003399"/>
        <rFont val="Angsana New"/>
        <family val="1"/>
      </rPr>
      <t xml:space="preserve"> </t>
    </r>
    <r>
      <rPr>
        <b/>
        <sz val="14"/>
        <color rgb="FF003399"/>
        <rFont val="Angsana New"/>
        <family val="1"/>
      </rPr>
      <t>โครงการรองรับการจัดการเรียนการสอนและพัฒนาหน่วยงานโดยใช้เงินกองทุนฯ</t>
    </r>
    <r>
      <rPr>
        <sz val="14"/>
        <color rgb="FF003399"/>
        <rFont val="Angsana New"/>
        <family val="1"/>
      </rPr>
      <t xml:space="preserve"> ประกอบด้วย</t>
    </r>
  </si>
  <si>
    <t>เพื่อจัดทำแผนการดำเนิน งานและติดตาม ผลการดำเนิน งานตามแผนให้บรรลุตามเป้า หมายที่กำหนด</t>
  </si>
  <si>
    <t>ยุทธศาสตร์ที่ 1 (1.1)</t>
  </si>
  <si>
    <t>มีรายงานผลการดำเนิน งานตามประจำปี การดำเนิน งานบรรลุตามวัตถุ ประสงค์และเป้าหมายที่กำหนด</t>
  </si>
  <si>
    <t xml:space="preserve"> 1. มีแผนงบประมาณ   2.มีแผนปฏิบัติ การประจำปี   3. มีการติดตามผลการดำเนิน งาน </t>
  </si>
  <si>
    <t>1. 1 ฉบับ   2. 1 ฉบับ   3. ไม่น้อยกว่า 2 ครั้งต่อปี</t>
  </si>
  <si>
    <t xml:space="preserve"> 1. มีแผนงบประมาณ   2.มีแผนปฏิบัติ การประจำปี 3. มีการติดตามผลการดำเนิน งาน </t>
  </si>
  <si>
    <t xml:space="preserve"> เพื่อพัฒนาระบบบริหารทรัพยากรบุคคลโดยยึดแนว  คิด HR Scorecard</t>
  </si>
  <si>
    <t>1. การดำเนิน งานของคณะสามารถบรรลุพันธกิจและเป้าหมายในด้านต่างๆ
2. บุคลากรมีคุณภาพชีวิตและความสมดุล</t>
  </si>
  <si>
    <t>1.มีแผนบริหารทรัพยากรบุคคล        2.มีกิจกรรมบริหาร ทรัพยากรบุคคล            3.มีระบบบริหาร ผลงาน          4.บุคลากรมีความพึงพอใจ</t>
  </si>
  <si>
    <t>1. มี          2. มี          3.มี           4. มี</t>
  </si>
  <si>
    <t>เพื่อประเมินความเสี่ยงและวางแผนบริหารความเสี่ยงในอันที่จะทำให้การดำเนินงานของหน่วยงานไม่บรรลุวัตถุประสงค์ที่กำหนด</t>
  </si>
  <si>
    <t>มีการดำเนินงานตามภารกิจหลักโดยไม่มีความเสี่ยงที่จะทำให้การดำเนินงานไม่บรรลุเป้าหมาย</t>
  </si>
  <si>
    <t>1. แผนการประเมินความเสี่ยง   2.มีการจัดทำแผนบริหารความ ความเสี่ยง   3.มีการรายงานผลการดำเนินงาน   4. การดำเนินงานตามภารกิจหลักบรรลุเป้าหมาย</t>
  </si>
  <si>
    <t>1. มีแผนการประเมินความเสี่ยง   2.มีการจัดทำแผนบริหารความ ความเสี่ยง   3.มีการรายงานผลการดำเนินงาน   4. การดำเนินงานตามภารกิจหลักบรรลุเป้าหมาย</t>
  </si>
  <si>
    <t>เพื่อทำความสะอาด ปรับระบบการจัด เก็บเอกสาร วัสดุ อุปกรณ์ให้เป็นระบบ ระเบียบ และเอื้อต่อการปฏิบัติงาน</t>
  </si>
  <si>
    <t>เพื่อให้ค่าตอบ แทนเพิ่ม แก่บุคลากรที่เป็นการจูงใจบุคลากรให้มีขวัญ และกำลังใจในการปฏิบัติงานในหน้าที่เต็มกำลังความ สามารถ ตามเกณฑ์ภาระงานที่ กำหนด</t>
  </si>
  <si>
    <t>บุคลากรมีขวัญและกำลังใจในการปฏิบัติงาน</t>
  </si>
  <si>
    <t>เดือนพฤษภาคม  - สิงหาคม 2554</t>
  </si>
  <si>
    <t>1.มีรายงาน ภาระงานแ  2.มีการจัดสรรค่าตอบแทนตามเกณฑ์อย่างน้อยปีละ 2 ครั้ง</t>
  </si>
  <si>
    <t>1.มี           2.อย่างน้อยปีละ 2 ครั้ง</t>
  </si>
  <si>
    <t>การติดต่อประสานงาน การทำงานร่วมกันเป็นไปด้วยความราบรื่น ลดปัญหาความไม่เข้าใจกัน</t>
  </si>
  <si>
    <t>1.ไม่น้อย กว่าร้อย ละ 80 ของกลุ่ม เป้าหมาย2.คะแนน 3.5 (เต็ม5 คะแนน)</t>
  </si>
  <si>
    <t>ยุทธศาสตร์ที่ 1 (1.4)</t>
  </si>
  <si>
    <t>1.เพื่อให้  อาจารย์บุคลากรได้มีปฏิ สัมพันธ์ อันดีระหว่าง กัน                2.เพื่อสร้าง  ความสัมพันธ์อันดีระหว่างคณะฯ กับหน่วยงานภายนอก นำไปสู่การประสานงานที่ดี ในระหว่างการทำงาน</t>
  </si>
  <si>
    <t xml:space="preserve">1.ร้อยละ   2.ระดับคะแนน  </t>
  </si>
  <si>
    <t>เพื่อให้บุคลากรได้เรียนรู้หลักการและจิตวิทยาการทำงานร่วมกับผู้อื่นในทีม  เสริมสร้างสัมพันธภาพที่ดีของทีมงานที่ประกอบด้วยบุคลากรทุกระดับ ทุกสายงานในองค์กร</t>
  </si>
  <si>
    <t xml:space="preserve"> บุคลากรได้แลกเปลี่ยนเรียนรู้และร่วมกิจกรรมเพื่อเสริม สร้างทีมงานที่เป็นเลิศ  สามารถปฏิบัติงานรองรับภารกิจหลักของหน่วยงานได้อย่างมีประสิทธิภาพ</t>
  </si>
  <si>
    <t>1.ประโยชน์ ที่ได้รับจาก การเข้าร่วม กิจกรรมโครงการ  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</si>
  <si>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</si>
  <si>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 คะแนน  2. คะแนน</t>
  </si>
  <si>
    <t>เพื่อประกาศเกียรติคุณบุคลากรที่มีผลงานดีเด่นในด้านต่างๆ เพื่อเป็นขวัญและกำลังใจในการปฏิบัติงานแก่บุคลากร</t>
  </si>
  <si>
    <t>บุคลากรมีขวัญและกำลังใจการปฏิบัติงานให้บรรลุเป้าหมายที่กำหนด</t>
  </si>
  <si>
    <t>จำนวนผู้ได้รับประกาศเกียรติคุณ</t>
  </si>
  <si>
    <t>ครบถ้วนทุกกลุ่มงาน</t>
  </si>
  <si>
    <t xml:space="preserve"> -</t>
  </si>
  <si>
    <t>1.เพื่อเป็นเวทีให้อาจารย์และบุคลากรได้พบ ปะแลกเปลี่ยนความรู้ ประสบ การณ์ร่วมกัน       2.เพื่อเป็นเวทีให้ความรู้ ชึ้แจงและตอบข้อสงสัยในเรื่องระเบียบ  ข้อ บังคับ แนวปฏิบัติ สวัสดิการ สิทธิประโยชน์ต่างๆ เป็นต้น</t>
  </si>
  <si>
    <t xml:space="preserve">อาจาจารย์และบุคลากรรับทราบแนวปฏิบัติที่เข้าใจตรงกัน และบุคลากรมีส่วนร่วมในการบริหารจัดการ ทำให้เกิดการพัฒนาคุณภาพในด้านการบริหารจัดการ </t>
  </si>
  <si>
    <t>1. จำนวนอาจารย์และบุคลากรที่เข้าร่วมกิจกรรม        2. ผลการประเมินจากผู้เข้าร่วมโครงการอยู่ในเกณฑ์พอใจไม่น้อยกว่าร้อยละ 80</t>
  </si>
  <si>
    <t>ยุทธศาสตร์ที่ 6 (6.3)</t>
  </si>
  <si>
    <t>1.ไม่น้อยกว่าร้อยละ  60 ของอาจารย์ทั้งหมด       2. ผลการประเมินความพึงพอใจไม่น้อยกว่าร้อยละ 80</t>
  </si>
  <si>
    <t>เพื่อรับรองแขกและผู้มีประสบการณ์ด้านวิชาการและวิชาชีพที่เดินทางมาให้คำปรึกษาแนะนำคณะเภสัชศาสตร์</t>
  </si>
  <si>
    <t>เกิดสัมพันธ  ภาพที่ดีระหว่าง ผู้บริหาร  อาจารย์ บุคลากรและผู้ที่มาให้คำแนะ นำปรึกษาและเยี่ยมชมคณะฯ</t>
  </si>
  <si>
    <t>1. จำนวนผู้เชี่ยวชาญที่เดินทางมา คณะฯ          2. จำนวนผู้เข้าร่วมแลกเปลี่ยน ประสบการณ์วิชาการและวิชาชีพ ไม่น้อยกว่าร้อยละ 80</t>
  </si>
  <si>
    <t>1. จำนวนผู้เชี่ยวชาญที่เดินทางมาคณะฯ         2.ผู้เข้าร่วมแลกเปลี่ยนประสบการณ์วิชาการและวิชาชีพไม่น้อยกว่าร้อยละ 80</t>
  </si>
  <si>
    <t>1. คน        2. ร้อยละ</t>
  </si>
  <si>
    <t>เพื่อให้อาจารย์และบุคลากร ใหม่ได้มีปฏิ สัมพันธ์อันดีร่วมกับอาจารย์/บุคลากรในปัจจุบันนำไปสู่ การประสานงาน ที่ดีในการ   ปฏิบัติงาน</t>
  </si>
  <si>
    <t xml:space="preserve">อาจารย์/บุคลากรมีปฏิสัมพันธ์อันดีระหว่างกัน  </t>
  </si>
  <si>
    <t xml:space="preserve">จำนวนอาจารย์/ บุคลากรเข้าร่วมโครงกาไม่ น้อยกว่าร้อยละ 80 ของอาจารย์/ บุคลากรที่ปฏิบัติงานจริง </t>
  </si>
  <si>
    <t xml:space="preserve">1. เพื่อจัดทำแผนปฏิบัติการของกลุ่มวิชาชีวเภสัชศาสตร์ 
2. เพื่อเตรียมความพร้อมในการดำเนินกิจกรรมต่างๆ ของกลุ่มวิชา
3. เพื่อติดตามความก้าวหน้าในการดำเนินโครงการ รวมทั้งติดตามประเมินผล ภายหลังจากการดำเนินกิจกรรมต่างๆสำเร็จลุล่วง </t>
  </si>
  <si>
    <t>1. กลุ่มวิชามีแนวนโยบาย และแผน ปฏิบัติการชัดเจน
2. มีความพร้อมในการดำเนินกิจกรรมต่างๆ มีผลให้การดำเนินกิจกรรมต่างๆสำเร็จลุล่วงไปด้วยดี</t>
  </si>
  <si>
    <t>1. ไม่น้อยกว่าร้อยละ 80 2. มีแผนปฏิบัติการกลุ่มวิชา</t>
  </si>
  <si>
    <t>1.ร้อยละ    2. มี</t>
  </si>
  <si>
    <t xml:space="preserve">1. ผู้เข้าร่วมประชุมจัดทำแผน ปฏิบัติไม่น้อยกว่าร้อยละ 80
2.  มีแผน ปฏิบัติการของกลุ่มวิชาตามภารกิจของคณะ     3. โครงการที่บรรลุดัชนีชี้วัดไม่น้อยกว่าร้อยละ 80 ของโครงการทั้งหมดที่กำหนดไว้ในแผน </t>
  </si>
  <si>
    <t>1. บุคลากรงานปฏิบัติ การมีทักษะความรู้ที่เป็น ประโยชน์ต่อการ  ปฏิบัติงาน ทำงานประสานงานการได้เป็นอย่างดี           2.บุคลากรมีเจตคติที่ดีต่อการทำงาน</t>
  </si>
  <si>
    <t>1.ร้อยละ 50 2. อย่างน้อย  7 ครั้ง</t>
  </si>
  <si>
    <t>1.ร้อยละ    2.ครั้ง</t>
  </si>
  <si>
    <t xml:space="preserve">1 คณาจารย์ ได้รับทราบ นโยบายและข้อมูลต่างๆ ของคณะ สามารถนำ ไปปฏิบัติให้เป็นไปในทิศทางเดียว  กัน                2. เพื่อให้คณาจารย์ได้แลกเปลี่ยนประสบการณ์และระดมความคิดแก้ไขปัญหาของกลุ่มวิชาและคณะร่วมกัน </t>
  </si>
  <si>
    <t>1.อย่างน้อยเดือนละ 1 ครั้ง             2.อย่างน้อย   6 ฉบับ       3.ไม่น้อยกว่าร้อยละ  80</t>
  </si>
  <si>
    <t xml:space="preserve">1.ครั้ง       2.ฉบับ     3.ร้อยละ  </t>
  </si>
  <si>
    <t>1. ประชุมกลุ่มวิชาอย่างน้อยเดือนละ 1 ครั้ง             2.มีรายงานการประชุมอย่างน้อย 6  ฉบับ          3. ผู้เข้าร่วม ประชุมไม่ น้อยกว่าร้อย  ละ 80</t>
  </si>
  <si>
    <t>1.คณาจารย์ มีการปฏิบัติ งานที่เป็น ไปในทิศ ทางเดียวกัน 2.ปัญหาของ  กลุ่มวิชาได้รับการแก้ไขอย่างเป็นระบบร่วมกัน        3. กลุ่มวิชา มีแนวปฏิบัติที่ดีในด้านการเรียนการสอน</t>
  </si>
  <si>
    <t xml:space="preserve">เพื่อใช้เป็นสื่อกลางในการที่จะให้คณาจารย์ได้รับทราบข้อมูลและนโยบายของคณะ  </t>
  </si>
  <si>
    <t>คณาจารย์ในกลุ่มวิชารับทราบนโยบายการดำเนินงานคณะฯ</t>
  </si>
  <si>
    <t>รายงานการประชุมกลุ่มวิชา</t>
  </si>
  <si>
    <t>อย่างน้อย 6 ครั้ง</t>
  </si>
  <si>
    <t>ครั้ง</t>
  </si>
  <si>
    <t xml:space="preserve">มีส่วนแสดงผลิตภัณฑ์ยาสำหรับการเรียนในหลักสูตรเภสัชศาสตร บัณฑิตสาขาเฉพาะทางและหลักสูตรบริบาลเภสัชกรรม  </t>
  </si>
  <si>
    <t xml:space="preserve">โครงการปรับปรุง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สาขา 2  </t>
  </si>
  <si>
    <t xml:space="preserve">1. มีจำนวนการประชุมเป็นประจำอย่างน้อย 12 ครั้ง/ปี
2. มีแผนการดำเนินงานประจำปี อย่างน้อย 2 แผน
</t>
  </si>
  <si>
    <t xml:space="preserve">1. เพื่อเป็นสื่อ กลางให้คณะ กรรมการฯ ได้รับทราบข้อมูลและนโยบายของคณะ  
2.เพื่อเป็นเวที ให้คณะ กรรมการฯได้ ร่วมแสดงความคิดเห็น ประชุมหารือ  กำหนด  แผนงานประจำปี </t>
  </si>
  <si>
    <t>1.เกิดความ  สัมพันธ์อัน   ดีระหว่าง คณะกรรม การในกลุ่มงาน            2.ได้งานหรือ กิจกรรมที่เป็นรูปธรรมจากการระดมความคิดเห็นที่เป็นระบบ และสอด คล้องกับทิศทาง การพัฒนา ของคณะ</t>
  </si>
  <si>
    <t xml:space="preserve">1. อย่างน้อย 12 ครั้ง/ปี
2. อย่างน้อย 2 แผน
</t>
  </si>
  <si>
    <t xml:space="preserve">1.ครั้ง/ปี
2. แผน
</t>
  </si>
  <si>
    <t>1.มีเครือข่ายความร่วมมือกับแหล่งฝึกที่รองรับการฝึกงานของนักศึกษา      2.อาจารย์ประจำแหล่งฝึกได้รับการพัฒนาศักยภาพ 3.แหล่งฝึกมีความพร้อมรองรับการฝึกงานของนักศึกษา</t>
  </si>
  <si>
    <t xml:space="preserve">1.มีการประชุมอาจารย์นิเทศงาน     2. มีการประชุม เภสัชกรแหล่งฝึก      3. มีการเยี่ยมแหล่งฝึกเพื่อสร้างเครือข่าย      4. มีทำบันทึกข้อ  ตกลงกับแหล่งฝึกเพิ่ม </t>
  </si>
  <si>
    <t>1.อย่างน้อย     1 ครั้ง          2.อย่งน้อย   1 ครั้ง             3. อย่าน้อย 5 แหล่งฝึก      4. อย่างน้อย 2 แหล่ง</t>
  </si>
  <si>
    <t>1.ครั้ง        2.ครั้ง        3.แหล่งฝึก 4.แหล่ง</t>
  </si>
  <si>
    <t>มีกรอบทิศทาง โครงการ กิจกรรมรองรับการดำเนินงานของหน่วยงานในช่วงปี พ.ศ.2555-2559</t>
  </si>
  <si>
    <t xml:space="preserve">มีแผนยุทธศาสตร์/แผนกลยุทธ์/แผนปฏิบัติการรองรับการดำเนินงานครบทุกภารกิจหลัก
 </t>
  </si>
  <si>
    <t>ครบถ้วนทุกภารกิจหลัก 4 ภารกิจ</t>
  </si>
  <si>
    <t>ภารกิจหลัก</t>
  </si>
  <si>
    <t>1. เพื่อ กำหนด แผนพัฒนาคณะฯระยะ 5ปี (ปี พ.ศ.2555–2560)        2.เพื่อกำหนด แผนงาน/โครงการ/    กิจกรรมที่สามารถ รองรับการดำเนินงานตามภารกิจหลักของ  ในช่วงปี พ.ศ.  2555–2560</t>
  </si>
  <si>
    <t xml:space="preserve">เพื่อช่วยเหลือนักศึกษาที่ฐานะยากจน ผลการเรียนดี ขาดแคลนทุนทรัพย์  </t>
  </si>
  <si>
    <t>นักศึกษาที่เรียนดีแต่ฐานะยากจนมีโอกทางทางการศึกษา</t>
  </si>
  <si>
    <t xml:space="preserve">1. อย่างน้อย 4 คน
2. เฉลี่ย 5 ชม./เดือน </t>
  </si>
  <si>
    <t xml:space="preserve">1.คน
2.ชม./เดือน </t>
  </si>
  <si>
    <t>1. จำนวนนักศึกษาที่ได้รับทุน 
2. มีการติดตามความประ พฤติของผู้ได้รับทุนอย่างต่อเนื่องโดยนักศึกษาต้องรายงานและช่วย เหลือกิจกรรมของคณะ</t>
  </si>
  <si>
    <t>1. ไม่น้อยกว่าร้อยละ 70           2. ร้อยละ 100</t>
  </si>
  <si>
    <t>ยุทธศาสตร์ที่ 1 (1.3)</t>
  </si>
  <si>
    <t xml:space="preserve">เพื่อให้บุคลากรสาย สนับสนุนได้เพิ่มพูนความรู้  และได้แนวคิดที่เป็นประโยชน์ในการนำมาพัฒนางาน       </t>
  </si>
  <si>
    <t>บุคลากรได้   รับการพัฒนา ศักยภาพและนำมาประยุกต์ ใช้ในการพัฒนางานให้มีประสิทธิภาพเป็นหน่วยที่มีคุณภาพได้</t>
  </si>
  <si>
    <t>1. ผู้แทนบุคลากรสายสนับสนุนจากงานต่างๆได้รับการเพิ่มพูนความรู้และประสบการณ์ครบถ้วนทุกงาน คิดเป็นร้อยละ 100    2.ผู้ร่วมโครงการมีแผนและผลการพัฒนา ปรับ ปรุงงานในความรับผิดชอบ</t>
  </si>
  <si>
    <t>เพื่อให้ความรู้และแนวปฏิบัติที่ถูกต้องตามระเบียบของทางราชการแก่อาจารย์/บุคลากร  ที่กลับจากลาศึกษาต่อและบรรจุใหม่</t>
  </si>
  <si>
    <t>บุคลากรใหม่และผู้กลับจากลาศึกษาต่อเข้าร่วมโครงการ</t>
  </si>
  <si>
    <t>ไม่น้อยกว่าร้อยละ 80</t>
  </si>
  <si>
    <t>บุคลากรนำความรู้ที่ได้รับไปใช้ประโยชน์ในการปฏิบัติงานลดปัญหาและข้อผิดพลาดในการปฏิบัติงานที่เกี่ยวข้องกับระเบียบ/แนวปฏิบัติของทางราชการ</t>
  </si>
  <si>
    <t>เพื่อพัฒนาองค์ความรู้และทักษะด้านการบริหารแก่ผู้บริหารของคณะเภสัชศาสตร์</t>
  </si>
  <si>
    <t>1. จำนวนผู้บริหารที่เข้าร่วมโครงการ      2. ผู้บริหารที่ เข้าร่วมโครง การสามารถนำแนวคิด ทฤษฎีมาประยุกต์ใช้ในงานที่รับผิด ชอบโดยมีผลการประเมินการปฏิบัติงานบริหารดีขึ้น</t>
  </si>
  <si>
    <t>การบริหาร งานในหน่วยงานมีประสิทธิภาพ</t>
  </si>
  <si>
    <t>1. จำนวน  1-3 คน        2. ผลการประเมินการบริหารดีขึ้น</t>
  </si>
  <si>
    <t>1.คน         2.ผลการประเมินการบริหาร</t>
  </si>
  <si>
    <t>เพื่อเพิ่มทักษะการสื่อสารระหว่างอาจารย์กับนักศึกษา</t>
  </si>
  <si>
    <t>1.ไม่ต่ำกว่า ร้อยละ 50  2.ระดับ 3.0  จาก 5</t>
  </si>
  <si>
    <t>ยุทธศาสตร์ที่ 2 (2.1), (2.6)</t>
  </si>
  <si>
    <t>การติดต่อ สื่อสารระหว่างนักศึกษาและอาจารย์มีความราบ รื่นและมีสัมพันธภาพที่ดี</t>
  </si>
  <si>
    <t xml:space="preserve">1. จำนวนนักศึกษาที่เข้าร่วมกิจกรรม
2. ความพึงพอใจของผู้เข้าร่วมการจัดกิจกรรม </t>
  </si>
  <si>
    <t xml:space="preserve">1.ร้อยละ  2.ระดับ </t>
  </si>
  <si>
    <t>เดือนกุมภาพันธ์ 2554</t>
  </si>
  <si>
    <t>มีทีมงานที่มีคุณภาพ</t>
  </si>
  <si>
    <t>เพื่อเสริมสร้าง ทีมงานเตรียมรองรับกิจกรรมต่างๆ ของคณะฯ และมหาวิทยาลัยฯ</t>
  </si>
  <si>
    <t>ร้อยบะ</t>
  </si>
  <si>
    <t>เดือนธันวาคม 2553-สิงหาคม 2554</t>
  </si>
  <si>
    <t>จำนวนอาจารย์และบุคลากรที่เข้าร่วมโครงการที่ต้องมีทีม งานที่แต่งกายตาม แบบแผน เรียบร้อย  และ เหมาะสม</t>
  </si>
  <si>
    <t>การทำงานเป็นไปด้วยมีประสิทธิ ภาพ ราบรื่น ลดปัญหาในการปฏิบัติงาน</t>
  </si>
  <si>
    <t>1.คณาจารย์นักศึกษามีแหล่งค้นคว้าข้อมูลอย่างเพียงพอและเป็นปัจจุบัน
2. สนับสนุนการจัดการเรียนการสอนที่มีผู้เรียนเป็นศูนย์กลาง
3.เป็นแหล่งวิทยาการในการพัฒนาตน การฝึกการค้นคว้าข้อมูลของนักศึกษา</t>
  </si>
  <si>
    <t>1. ร้อยละของวัสดุ  ตำรา วารสารทางวิชาการและโสตทัศนูปกรณ์ ที่เพิ่มขึ้น 
2. ระดับความพึงพอใจของผู้ใช้บริการห้องเอกสาร อ้างอิงฯ (คะแนนเต็ม 5)</t>
  </si>
  <si>
    <t xml:space="preserve">1. ร้อยละ 
2. ระดับ </t>
  </si>
  <si>
    <t xml:space="preserve">คณะเภสัชศาสตร์มีเอกสารแนะนำ คณะภาษาไทย และภาษา อังกฤษ และของที่ระลึกเอกลักษณ์ คณะฯ ที่จะใช้ในการประชา สัมพันธ์
</t>
  </si>
  <si>
    <t xml:space="preserve"> 1. มีเอกสารแนะนำคณะฯ ภาษาไทย และภาษาอังกฤษ
2. มีของที่ระลึกเอกลักษณ์ คณะเภสัชศาสตร์ มหาวิทยาลัยอุบลราชธานี
</t>
  </si>
  <si>
    <t>1. เพื่อวางแผนการประชาสัมพันธ์อย่างเป็นระบบ และต่อเนื่อง  
2. เพื่อสร้างสื่อประชา สัมพันธ์รูปแบบต่างๆ  ในการเผยแพร่นโยบายและผลการดำเนิน งานของคณะให้กับหน่วย งานภายนอก</t>
  </si>
  <si>
    <t>มี</t>
  </si>
  <si>
    <t xml:space="preserve"> 1. เพื่อประชา สัมพันธ์ ข่าวสารและกิจกรรม ต่าง ๆในคณะฯ
2. เพื่อเผยแพร่ความรู้ เทคโน-โลยีใหม่ๆ และ ผลงานของคณะฯ ให้นักศึกษา บุคลากรและบุคคลทั่วไปได้รับทราบ</t>
  </si>
  <si>
    <t xml:space="preserve">หน่วยงานภายนอกอื่นๆ และบุคคล ภายนอกได้รู้จักคณะฯ ยิ่งขึ้น
</t>
  </si>
  <si>
    <t xml:space="preserve"> มีสารเภสัชศาสตร์ คณะเภสัชศาสตร์เผยแพร่ไปยังหน่วยงานต่าง ๆ จำนวน 3  ฉบับ 
 </t>
  </si>
  <si>
    <t xml:space="preserve"> 3 ฉบับต่อปี</t>
  </si>
  <si>
    <t>ฉบับ</t>
  </si>
  <si>
    <t>มีการดำเนินการ ครบถ้วนทุกข้อ (ร้อยละ 100)</t>
  </si>
  <si>
    <t>เพื่อดำเนินการ บริหารจัดการให้เกิดการแลกเปลี่ยนองค์ความรู้ภายในองค์กร</t>
  </si>
  <si>
    <t>มีแหล่งแลกเปลี่ยนและเผยแพร่องค์ความรู้ที่เป็นประ โยชน์ในการดำเนินงาน และมีผู้เข้าใช้งาน</t>
  </si>
  <si>
    <t xml:space="preserve">1. มีเวบไซต์เพื่อเป็นสื่อการในการแลกเปลี่ยนองค์ความรู้   2.หน่วยงาน ย่อยในคณะมีการจัดเก็บองค์ความรู้ในงาน </t>
  </si>
  <si>
    <t>เดือนธันวาคม 2553 - กันยายน.2554</t>
  </si>
  <si>
    <t xml:space="preserve">โครงการสำรวจความต้องการศึกษาต่อในหลักสูตรระดับบัณฑิตศึกษา  สาขาชีวเคมีและอณูชีววิทยา  จุลชีววิทยา  สรีรวิทยา  เภสัชวิทยา พิษวิทยา  </t>
  </si>
  <si>
    <t xml:space="preserve"> 1. เพื่อเผยแพร่แนวคิดการสร้างเสริมสุขภาพให้นักเรียนในโรงเรียนเครือข่ายมหาวิทยาลัยอุบลราชธานีและประชาชนรอบโรงเรียนเครือข่ายมหาวิทยาลัยอุบลราชธานีตระหนักถึงการดูแลสุขภาพของตนเอง คนในครอบครัวและชุมชนก่อนการใช้ยา </t>
  </si>
  <si>
    <t>1. นักเรียนที่ร่วมโครงการ
2. ความพึงพอใจของครูประจำโรงเรียนเครือข่ายฯ และประชา ชนที่อาศัยอยู่รอบบริเวณโรงเรียนเครือข่ายฯ  
3. มีการบูรณาการรเข้ากับรายวิชา
4.  นักศึกษามีความพึงพอใจต่อการจัดกิจกรรรมในระดับพึงพอใจมาก</t>
  </si>
  <si>
    <t>1. นักเรียนโรงเรียนเครือข่ายฯได้รับความรู้ที่ถูกต้อง ในการดูแลและการสร้างเสริมสุขภาพ
2. ประชาชนได้รับความรู้ด้านสุขภาพ มีส่วนร่วมในการแสดงความเห็น และสอบ ถามปัญหาเกี่ยวกับสุขภาพและการใช้ยา</t>
  </si>
  <si>
    <t>1.ไม่น้อยกว่าร้อยละ  60 ของกลุ่ม เป้าหมาย  
2. ร้อยละ 60 มีความพึงพอใจในการร่วมกิจกรรมระดับมาก
3. มีการบูรณาการโครงการนี้เข้ากับวิชาปฏิบัติการเภสัชวิทยา 1 และ/หรือ ปฏิบัติการเภสัชวิทยา 2 
4. ร้อยละ 60มีระดับพึงพอใจมาก</t>
  </si>
  <si>
    <t xml:space="preserve">1.ร้อยละ   
2. ร้อยละ 
3. มีการบูรณาการ  
4. ร้อยละ  </t>
  </si>
  <si>
    <t xml:space="preserve"> - เงินเดือน/ค่าจ้างประจำ</t>
  </si>
  <si>
    <t xml:space="preserve"> - ค่าสาธารณูปโภค</t>
  </si>
  <si>
    <t xml:space="preserve"> - เงินอุดหนุน</t>
  </si>
  <si>
    <t>1) ค่าตอบแทน</t>
  </si>
  <si>
    <t>2) ค่าใช้สอย</t>
  </si>
  <si>
    <t>3) ค่าวัสดุ</t>
  </si>
  <si>
    <t xml:space="preserve"> -ค่าตอบแทนใช้สอยและวัสดุ</t>
  </si>
  <si>
    <t xml:space="preserve"> -ค่าสาธารณูปโภค</t>
  </si>
  <si>
    <t>1. นักศึกษาได้แลก เปลี่ยนเรียน รู้งานในโรง พยาบาลเพื่อเตรียมปรับแนวคิดการเรียนให้เหมาะสมกับสาขาเฉพาะทางมากขึ้น 
2. นักศึกษาได้เรียนรู้บทบาทผู้นำ การมีส่วนร่วมทำงานเป็นทีมผ่านกิจกรรมต่างๆ</t>
  </si>
  <si>
    <t>จำนวนบุคลากรที่ได้รับการสนับสนุนทุนเพื่อพัฒนาศักยภาพ</t>
  </si>
  <si>
    <t xml:space="preserve">ยุทธศาสตร์ที่ 1 (1.2) </t>
  </si>
  <si>
    <t>เพื่อสนับสนุนการพัฒนาความ รู้ทักษะและประสบการณ์วิชาการและวิชาชีพแก่บุคลากรทุกสายงาน</t>
  </si>
  <si>
    <t>บุคลากรมีความรู้และมีคุณวุฒิสูงขึ้น สามารถปฏิบัติงานได้อย่างมีประสิทธิภาพ</t>
  </si>
  <si>
    <t>รวมงบกลางการฝึกปฏิบัติงานวิชาชีพ</t>
  </si>
  <si>
    <t xml:space="preserve"> - เงินอุดหนุนทั่วไป</t>
  </si>
  <si>
    <t xml:space="preserve"> - หมวดครุภัณฑ์</t>
  </si>
  <si>
    <t xml:space="preserve"> - หมวดสิ่งก่อสร้าง</t>
  </si>
  <si>
    <t>โครงการพัฒนาห้องเอกสารอ้างอิงทางเภสัชศาสตร์</t>
  </si>
  <si>
    <t>งบประมาณรวม (บาท)</t>
  </si>
  <si>
    <t>ผลการดำเนินงานตามดัชนีวัดความสำเร็จ</t>
  </si>
  <si>
    <t>ปัญหาอุปสรรค</t>
  </si>
  <si>
    <t xml:space="preserve">1.ร้อยละ    2. ร้อยละ   3. ร้อยละ </t>
  </si>
  <si>
    <t>1.เพื่อผลิตบัณฑิตที่ มีคุณภาพตามเกณฑ์วิชาชีพและ เป็นบัณฑิตที่พึงประสงค์ของสังคมไทย            2. เพื่อเพิ่มกำลังการผลิตบัณฑิตเภสัชศาสตร์ตอบสนองความต้องการของภาคตะวันออกเฉียง เหนือและของประเทศ</t>
  </si>
  <si>
    <t>บัณฑิตที่สำ เร็จการศึกษามี ความรู้และทักษะทางวิชา ชีพตามเกณฑ์มาตรฐานวิชา ชีพ และมีงานทำสามารถ ตอบ สนองต่อความต้องการของสังคมลดภาวะขาดแคลนเภสัชกร</t>
  </si>
  <si>
    <t xml:space="preserve">1. เพื่อให้นักศึกษาได้เพิ่มพูนความรู้และมีทักษะใน   งานเภสัชกรรมอัน จะก่อให้เกิดประโยชน์ในการปฏิบัติ งานวิชาชีพเภสัชกรรม          2.เพื่อเตรียมความพร้อมให้นักศึกษาก่อนการฝึกปฏิบัติงานวิชาชีพ </t>
  </si>
  <si>
    <t xml:space="preserve">1. เพื่อเพิ่มพูนทักษะด้านการบริบาลทางเภสัชกรรมของคณาจารย์
2. เพื่อแลกเปลี่ยนข้อมูลด้านการฝึกปฏิบัติงานวิชาชีพระหว่างแหล่งฝึกและคณะเพื่อปรับปรุงแก้ไขให้การฝึกปฏิบัติงานวิชาชีพมีประสิทธิภาพสูงขึ้น
3. เพื่อเสริมสร้างเครือข่ายความร่วมมือระหว่างคณะ และ แหล่งฝึกเฉพาะทาง 
4. เพื่อพัฒนาแหล่งฝึกงานให้เป็นแหล่งฝึกเฉพาะทางทางด้านการบริบาลทางเภสัชกรรมผู้ป่วยใน </t>
  </si>
  <si>
    <t>1. คณาจารย์ได้เพิ่มพูนทักษะและความรู้ด้านการบริบาลทางเภสัชกรรม
2. สามารถสร้างเป็นแหล่งฝึกงาน Acute care ให้กับนักศึกษาฝึกงานเฉพาะทางได้
3. คณาจารย์สามารถนำทักษะ ความรู้ที่เกิดจากการปฏิบัติงานจริงนำมาถ่ายทอดให้กับนักศึกษา เพื่อเป็นการเพิ่มศักยภาพในการเรียนการสอนได้</t>
  </si>
  <si>
    <t xml:space="preserve">1. คณาจารย์ได้รับการพัฒนาทักษะการบริบาลทางเภสัชกรรม อย่างน้อย 4 คน
2. มีการเข้าร่วมทีมสหสาขาวิชาชีพในการให้บริบาลผู้ป่วยอย่างน้อย 30 ครั้ง
3. ผู้ป่วยที่ได้รับการบริบาลทางเภสัชกรรมมีจำนวนอย่างน้อย 200 ราย
4. มีการค้นหาและแก้ไขปัญหาที่เกิดจากยา ที่เกิดกับผู้ป่วยอย่างน้อย 50 รายการ   </t>
  </si>
  <si>
    <t xml:space="preserve">1. อย่างน้อย    4 คน
2. อย่างน้อย 30 ครั้ง
3.  อย่างน้อย 200 ราย
4. อย่างน้อย 50 รายการ   </t>
  </si>
  <si>
    <t xml:space="preserve">1. คน
2. ครั้ง
3. ราย
4.  รายการ   </t>
  </si>
  <si>
    <t>1.มีแผบริหารทรัพยากร บุคคล           2.มีกิจกรรมบริหารทรัพยา  กรบุคคล        3.มีระบบบริหารผลงาน 4.บุคลากรมีความพึงพอใจ</t>
  </si>
  <si>
    <t>1. จำนวนบุคลากรที่เข้า ร่วมโครงการ    2.จำนวนกิจกรรมที่จัดขึ้นเพื่อรองรับการ ทำ 5 ส.</t>
  </si>
  <si>
    <t>1. เพื่อให้บุคลากรงานปฏิบัติการได้แลกเปลี่ยนความรู้ ทักษะที่เป็นประ โยชน์ต่อการปฏิบัติงาน            2. เพื่อให้บุคลากรงานปฏิบัติการมีการทำงานที่มีการประสาน งานกันได้อย่างมีประสิทธิภาพ 3. เพื่อสร้างเจตคติที่ดีในการทำงาน</t>
  </si>
  <si>
    <t>1. จำนวนบุคลากรห้องปฏิบัติการที่เข้าร่วมโครงการอย่างน้อยร้อยละ 50 2. จำนวนการประชุมเพื่อแลกเปลี่ยนความรู้ความคิดเห็นและทัศนคติอย่างน้อย 7 ครั้ง</t>
  </si>
  <si>
    <t xml:space="preserve">เพื่อปรับปรุง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 </t>
  </si>
  <si>
    <t>1. เพื่อสร้างเครือข่ายความ ร่วมมือกับแหล่ง  ฝึกเพื่อรองรับการ ฝึกปฏิบัติงาน วิชาชีพ                 2.เพื่อสนับสนุน การพัฒนาศักย ภาพอาจารย์ประจำแหล่งฝึก       3.เพื่อสนับสนุนทรัพยากรที่จำเป็นต่อการเรียนรู้ในการฝึกงานของนักศึกษาแก่แหล่ง ฝึก</t>
  </si>
  <si>
    <t>1. เปิดให้บริการข้อมูลข่าวสารด้านยาและอื่นๆกับบุคลากรทั่วไป
2. เพื่อให้นักศึกษามีทักษะในการพัฒนางานด้านการบริบาลทางเภสัชกรรม
3. เพื่อแสดงบทบาทแในการให้บริการข้อมูลด้านยาแก่สังคม ในฐานะเป็นศูนย์กลางการศึกษาทางเภสัชศาสตร์ในภูมิภาคแห่งนี้</t>
  </si>
  <si>
    <t>1.เป็นศูนย์แม่ข่ายของงานบริการสาร สนเทศในการเป็นแหล่ง ข้อมูลด้านยา
2. นักศึกษามีทักษะในตอบคำถามด้านเภสัชสนเทศ และเป็นการเพิ่มระดับมาตรฐานของบัณฑิต</t>
  </si>
  <si>
    <t>ยุทธศาสตร์ที่ 2 (2.1)</t>
  </si>
  <si>
    <t>ยุทธศาสตร์ที่ 2 (2.6)</t>
  </si>
  <si>
    <t>ยุทธศาสตร์ที่ 2 (2.3)</t>
  </si>
  <si>
    <t>หน่วยงานสะ  อาดมีระบบการจัดเก็บเอกสารที่สะดวกต่อการค้นหามีระบบ การจัดวาง วัสดุอุปกรณ์ที่ ง่ายต่อการใช้งาน</t>
  </si>
  <si>
    <t>ยุทธศาสตร์ที่ 2  (2.6)</t>
  </si>
  <si>
    <t xml:space="preserve">โครงการส่งเสริมการสร้างทีมงานของบุคลากร </t>
  </si>
  <si>
    <t>ยุทธศาสตร์ที่ 3 (3.3)</t>
  </si>
  <si>
    <t>ยุทธศาสตร์ที่ 4 (4.2)</t>
  </si>
  <si>
    <t>ยุทธศาสตร์ที่ 5 (5.3)</t>
  </si>
  <si>
    <t>ยุทธศาสตร์ที่ 3 (3.4)</t>
  </si>
  <si>
    <t>ยุทธศาสตร์ที่ 4 (4.6)</t>
  </si>
  <si>
    <t>ยุทธศาสตร์ที่ 5 (5.2)</t>
  </si>
  <si>
    <t>ยุทธศาสตร์ที่ 5 (5.1)</t>
  </si>
  <si>
    <t>ไม่น้อยกว่า 80 คน</t>
  </si>
  <si>
    <t>คน</t>
  </si>
  <si>
    <t>ผู้ประกอบการร้านขายยาตลอดจนผู้สนใจทั่วไป  มีความรู้เกี่ยว กับผลิตภัณฑ์อาหารและสมุนไพรเพื่อสุขภาพที่ถูก  ต้อง สามารถเลือกใช้ และแนะนำการใช้ได้อย่างเหมาะสม            2. เพื่อเปิดบทบาทหน้าที่ด้านการบริการวิชาการของคณะในด้านที่เกี่ยวกับอาหารเสริมสุขภาพ</t>
  </si>
  <si>
    <t>1. เพื่อให้ผู้ประกอบการร้านขายยาจังหวัดอุบลราชธานี ตลอดจนผู้สนใจทั่วไป  มีความรู้เกี่ยวกับผลิตภัณฑ์อาหารและสมุนไพรเพื่อสุขภาพที่ถูกต้อง สามารถเลือกใช้ และแนะนำการใช้ได้อย่างเหมาะสม             2. เพื่อเปิดบทบาทหน้าที่ด้านการบริการวิชาการของคณะเภสัชศาสตร์ ในด้านที่เกี่ยวกับอาหารเสริมสุขภาพ</t>
  </si>
  <si>
    <t>1. เภสัชกรเข้าร่วมไม่น้อยกว่าร้อยละ60 ของกลุ่ม เป้าหมาย
2. มีผลงาน วิจัยนำเสนอแบบปากเปล่า จากเครือข่ายต่างๆไม่น้อยกว่า10ผลงาน
3. มีงานวิจัยนำเสนอแบบโปสเตอร์จากเครือข่ายไม่น้อยกว่า 10 ผลงาน
4. ผู้เข้าร่วมโครงการมีความพึงพอใจมากกว่าระดับ  3 (จาก 5)</t>
  </si>
  <si>
    <t>1. เภสัชกรผู้เข้าร่วมประชุมได้รับความรู้ทางเภสัชกรรมเพื่อใช้ในการปฏิบัติหน้าที่ให้ดียิ่งขึ้น
2. เภสัชกรผู้เข้าร่วมประชุมได้แลกเปลี่ยนความคิดเห็นและประสบ การณ์ที่สามารถนำไป ใช้ในการให้บริการแก่ประชาชนทั่วไป และเกิดการเผยแพร่ผลงานทางวิชาการ</t>
  </si>
  <si>
    <t>1. ไม่น้อยกว่าร้อยละ 60 ของกลุ่มเป้าหมาย
2. ไม่น้อยกว่า 10 ผลงาน
3. ไม่น้อยกว่า 10 ผลงาน
4. มากกว่าระดับ 3 (จาก 5)</t>
  </si>
  <si>
    <t xml:space="preserve">1. ร้อยละ
2. ผลงาน
3. ผลงาน
4. ระดับ  </t>
  </si>
  <si>
    <t xml:space="preserve">1.เพื่อให้บุคลากรสำนัก งานมีการแลก เปลี่ยนความรู้ ทักษะที่เป็นประโยชน์ต่อการปฏิบัติงาน           2.เพื่อสร้าง  เจตคติที่ดี ฝึกการทำงานเป็นทีม </t>
  </si>
  <si>
    <t>1. จำนวนบุคลากรที่เข้าร่วมโครงการ  2. จำนวนการประชุม เพื่อ แลกเปลี่ยนความรู้ความคิด เป็นและทัศนคติ</t>
  </si>
  <si>
    <t>ทักษะการเรียนรู้ด้วยตนเองและการรวบรวมสรุปผลงานวิชาการอย่าง  มีระบบเรียนรู้ การทำงานเป็นทีม   พัฒนาทักษะการวางแผน    แก้ปัญหาอย่างเป็นระบบ มีทัศนคติที่ดีต่อวิชาชีพ</t>
  </si>
  <si>
    <t>สารนิพนธ์ต่อจำนวนโครงการสารนิพนธ์ในปีการศึกษานี้</t>
  </si>
  <si>
    <t xml:space="preserve">เพื่อพัฒนา </t>
  </si>
  <si>
    <t>นักศึกษาให้มี</t>
  </si>
  <si>
    <t>1. นักศึกษาได้</t>
  </si>
  <si>
    <t xml:space="preserve">เรียนรู้ ทดลอง </t>
  </si>
  <si>
    <t>และศึกษาค้นคว้าด้วยตนเอง 
2. นักศึกษาได้ฝึกทักษะการเขียนเรียบเรียง อภิปรายและสรุปผลการศึกษา</t>
  </si>
  <si>
    <t>ร้อยละของ</t>
  </si>
  <si>
    <t>จำนวนเล่ม</t>
  </si>
  <si>
    <t>1. มีการจัดทำคู่มือการประ กันคุณภาพ     2.มีแฟ้มสะสม  งานครบตามองค์ประกอบและดัชนีบ่งชี้คุณภาพ         3. มีรายงานผลการประ เมินตนเอง      4. มีการตรวจ ประเมิน คุณภาพอย่างน้อยปี ละ  1  ครั้ง</t>
  </si>
  <si>
    <t>1. มี         2.มี          3.มี           4. ผลการดำเนินงานตามภารกิจหลักบรรลุเป้าหมาย</t>
  </si>
  <si>
    <r>
      <t xml:space="preserve">โครงการปรับปรุงหลักสูตรเภสัชศาสตรบัณฑิต (เภสัชภัณฑ์) 6 ปี  </t>
    </r>
    <r>
      <rPr>
        <sz val="12"/>
        <color rgb="FFFF0000"/>
        <rFont val="Angsana New"/>
        <family val="1"/>
      </rPr>
      <t>(</t>
    </r>
    <r>
      <rPr>
        <b/>
        <sz val="12"/>
        <color rgb="FFFF0000"/>
        <rFont val="Angsana New"/>
        <family val="1"/>
      </rPr>
      <t>งานวิชาการเสนอให้ปรับชื่อเป็น "</t>
    </r>
    <r>
      <rPr>
        <b/>
        <u/>
        <sz val="12"/>
        <color rgb="FFFF0000"/>
        <rFont val="Angsana New"/>
        <family val="1"/>
      </rPr>
      <t>โครงการจัดทำหรือร่างหลักสูตรเภสัชศาสตรบัณฑิต สาขาเภสัชภัณฑ์ (6 ปี)</t>
    </r>
    <r>
      <rPr>
        <b/>
        <sz val="12"/>
        <color rgb="FFFF0000"/>
        <rFont val="Angsana New"/>
        <family val="1"/>
      </rPr>
      <t xml:space="preserve">" </t>
    </r>
    <r>
      <rPr>
        <sz val="12"/>
        <color rgb="FFFF0000"/>
        <rFont val="Angsana New"/>
        <family val="1"/>
      </rPr>
      <t>)</t>
    </r>
  </si>
  <si>
    <t xml:space="preserve">1. เพื่อให้คณาจารย์ บุคลากรและนักศึกษาได้ทำบุญเลี้ยงพระและฟังธรรม
2. เพื่อให้เกิดสิริมงคลแก่สถาบัน คณาจารย์ บุคลากรและนักศึกษา  
3. เพื่อเสริมสร้างคุณธรรม จริยธรรม วินัย ความสามัคคีในหมู่คณะ ตลอดจนทัศนคติที่ดีต่อวิชาชีพเภสัชกร 
</t>
  </si>
  <si>
    <t>1. คณาจารย์ บุคลากรและนักศึกษา ได้ทำบุญเลี้ยงพระ ส่งเสริมให้มีคุณธรรม จริยธรรม
1. เกิดความ สัมพันธ์อันดีระหว่าง คณาจารย์ บุคลากรฝ่ายต่างๆ และนักศึกษา</t>
  </si>
  <si>
    <t xml:space="preserve">1.ไม่ต่ำกว่าร้อยละ 60
2.ไม่ต่ำกว่า 3 (จากคะแนนเต็ม 5)
</t>
  </si>
  <si>
    <t xml:space="preserve">1.ร้อยละ 
2.คะแนน 
</t>
  </si>
  <si>
    <t xml:space="preserve">1. จำนวนนักศึกษาที่เข้าร่วมกิจกรรมไม่ต่ำกว่าร้อยละ 60
2. เชิงคุณภาพ คือ ความพึงพอใจของผู้เข้าร่วมกิจกรรมไม่ต่ำกว่า 3 (จากคะแนนเต็ม 5)
</t>
  </si>
  <si>
    <t>เพื่อทดลองผลิตผลิตภัณฑ์สมุนไพร อาหารเสริมสุขภาพตามมาตรฐานกรรมวิธีการผลิตที่ดี และพัฒนาวิธีการควบคุมคุณภาพมาตรฐานผลิตภัณฑ์ที่ได้มาตรฐานและปลอดภัย</t>
  </si>
  <si>
    <t>มีการทดลองผลิตผลิตภัณฑ์จากสมุนไพรอย่างน้อย 1 ตำรับ</t>
  </si>
  <si>
    <t xml:space="preserve">มีตำรับผลิตภัณฑ์จากสมุนไพรเพิ่มขึ้น </t>
  </si>
  <si>
    <t>ตำรับ</t>
  </si>
  <si>
    <t>อย่างน้อย 1 ตำรับ</t>
  </si>
  <si>
    <t xml:space="preserve">1.เพื่อเพิ่มพูนความรู้ให้ทันสมัยอย่างเป็นระบบให้แก่เภสัชกร ให้สอดคล้องกับการบริบาลทางเภสัชกรรมที่เป็นปัจจุบัน
2. เพื่อพัฒนาความสามารถในการบูรณาการองค์ความรู้หลายประการและประสบการณ์  ในการค้นหา  วางแผนการแก้ไข  ติดตาม และป้องกันปัญหาจากการใช้ยา  เพื่อประชาชนใช้ยาอย่างเหมาะสม </t>
  </si>
  <si>
    <t>ผู้เข้าร่วมประชุมมีองค์ความรู้เกี่ยวกับโรค ยารักษาโรค และแนวทางการการจัดการโรคที่เป็นปัจจุบัน และสามารถนำไปประยุกต์ใช้ในหน่วยงานของตนได้</t>
  </si>
  <si>
    <t xml:space="preserve">1. จำนวนผู้ร่วมโครงการไม่น้อยกว่าร้อยละ 80
2. ผู้รับบริการมีความพึงพอใจร้อยละ 95
</t>
  </si>
  <si>
    <t xml:space="preserve">1.ไม่น้อยกว่าร้อยละ  80
2.ความพึงพอใจร้อยละ 95
</t>
  </si>
  <si>
    <t>1.ร้อยละ  2.ร้อยละ</t>
  </si>
  <si>
    <t xml:space="preserve">มีการบูรณาการกับการเรียนการสอน วิชาเภสัชบำบัด
</t>
  </si>
  <si>
    <t>เพื่อให้บริการทางเภสัชกรรมแก่ผู้ป่วยที่มารับบริการ ณ โรงพยาบาล สถานพยาบาล โดยคณาจารย์</t>
  </si>
  <si>
    <t>1. ไม่น้อยกว่าร้อยละ  80
2.ร้อยละ 95</t>
  </si>
  <si>
    <t xml:space="preserve">1. ร้อยละ  
2.ร้อยละ  </t>
  </si>
  <si>
    <t xml:space="preserve">มีการบูรณาการกับการเรียนการสอน วิชาเภสัชกรรมคลินิก เภสัชบำบัด การฝึกปฏิบัติงานบนหอผู้ป่วย </t>
  </si>
  <si>
    <t xml:space="preserve">1. เพื่อกระตุ้นจิตสำนึกและปลูกฝังคุณธรรมและจรรยาบรรณวิชาชีพเภสัชกรรม
2. เพื่อให้นักศึกษารับทราบแนวทางในการประกอบวิชาชีพภายใต้จรรยาบรรณแห่งวิชาชีพ
3. เพื่อให้นักศึกษาเกิดความรักและความภาคภูมิใจในวิชาชีพ
4. เพื่อเสริมสร้างทักษะทางสังคมและความเชื่อมั่นในการประกอบวิชาชีพในอนาคต
</t>
  </si>
  <si>
    <t xml:space="preserve">1. นักศึกษาทราบแนวทางการประกอบวิชาชีพภายใต้จรรยาบรรณวิชาชีพมากขึ้น
2. นักศึกษามีความตระหนักถึงความสำคัญและความจำเป็นในการรักษาจรรยาบรรณวิชาชีพ
</t>
  </si>
  <si>
    <t xml:space="preserve">1. จำนวนผู้เข้าร่วมโครงการไม่น้อยกว่าร้อยละ 60 ของกลุ่มเป้าหมาย
2. คะแนนเฉลี่ยความพึงพอใจในการเข้าร่วมโครงการไม่น้อยกว่า 3 จากคะแนนเต็ม 5
3. ดำเนินกิจกรรมแล้วเสร็จภายในกำหนดเวลาตามแผน
</t>
  </si>
  <si>
    <t>1. ไม่น้อยกว่าร้อยละ 60 ของกลุ่ม เป้าหมาย
2.ไม่น้อย  กว่า 3 จากคะแนนเต็ม   5
3. ดำเนินกิจกรรมแล้วเสร็จภายในกำหนดเวลาตามแผน</t>
  </si>
  <si>
    <t>1. ร้อยละ
2.คะแนน
3. ดำเนินกิจกรรมแล้วเสร็จภายในกำหนดเวลาตามแผน</t>
  </si>
  <si>
    <t xml:space="preserve">1. เพื่อปลูกฝังคุณธรรมและจริยธรรมรวมทั้งวินัยในตนเอง ให้แก่นักศึกษาคณะเภสัชศาสตร์ มหาวิทยาลัยอุบลราชธานี
2. เพื่อปลูกจิตสำนึกให้นักศึกษาเห็นคุณค่าวัฒนธรรมและแนวปฏิบัติที่ดีตามวิถีชาวพุทธ
</t>
  </si>
  <si>
    <t>1. นักศึกษาได้รับการปลูกฝังคุณธรรมและจริยธรรม รวมทั้งมีวินัยในตนเองมากขึ้น
2. นักศึกษามีจิตสำนึกและเห็นคุณค่าในพระพุทธ ศาสนา</t>
  </si>
  <si>
    <t>1. จำนวนผู้เข้าร่วมโครงการไม่น้อยกว่าร้อยละ 60 ของกลุ่มเป้าหมาย
2. คะแนนเฉลี่ยความพึงพอใจในการเข้าร่วมโครงการไม่น้อยกว่า 3 จากคะแนนเต็ม 5</t>
  </si>
  <si>
    <t>1. ไม่น้อยกว่าร้อยละ  60 ของกลุ่ม เป้าหมาย
2. ไม่น้อยกว่า 3 จากคะแนนเต็ม 5</t>
  </si>
  <si>
    <t>1. ร้อยละ  
2. คะแนน</t>
  </si>
  <si>
    <t>1.มีแหล่งรวบรวมความรู้ด้านสมุนไพรไทยอีสาน และเครื่องยารักษาโรค ที่สามารถใช้อ้างอิงได้
2. องค์ความรู้ด้านภูมิปัญญาไทยด้านพืชสมุนไพรไม่สูญหายไป</t>
  </si>
  <si>
    <t>1. เพื่อจัดแสดงตัวอย่างพรรณไม้แห้ง และเครื่องยาไทยอีสาน
2. เพื่อรวบรวมและจัดทำฐานข้อมูลตัวอย่างพรรณไม้แห้ง และเครื่องยาไทยอีสาน</t>
  </si>
  <si>
    <t>มีรายการตัวอย่างพรรณไม้แห้ง และเครื่องยา ปรากฎในเวปไซต์อย่างน้อย 150 ชนิด</t>
  </si>
  <si>
    <t>อย่างน้อย 150 ชนิด</t>
  </si>
  <si>
    <t xml:space="preserve"> ชนิด</t>
  </si>
  <si>
    <t xml:space="preserve">มีการบูรณาการ  กับ                               - การเรียนการสอนวิชาเภสัชพฤกษศาสตร์, เภสัชเวท1, เภสัชเวท  กับการวิจัยพืชสมุนไพร
 - การวิจัย เรื่องการจัดทำมาตร ฐานสมุนไพรไทย เพื่อบรรจุในตำรามาตรฐานยาสมุนไทย 
 - การบริการวิชาการ เรื่อง การจัดทำพิพิธภัณฑ์สมุนไพรไทยเขตอีสานใต้   การจัดทำฐานข้อมูลสมุนไพรไทยเขตอีสานใต้ </t>
  </si>
  <si>
    <t xml:space="preserve">1.เพื่อจัดทำมาตรฐาน ตำรับยาแก้ไข้จันทน์ลีลา
2. เพื่อจัดทำหนังสือทางวิชาการเผยแพร่  ชื่อ “มาตรฐานตำรับยาสมุนไพร UBU specification series 1 : ตำรับยาแก้ไข้จันทน์ลีลา”
</t>
  </si>
  <si>
    <t>1. มีแหล่งรวบรวมความรู้ด้านสมุนไพรที่เป็นระบบ และสามารถใช้อ้างอิงได้
2. องค์ความรู้ด้านภูมิปัญญาไทยด้านพืชสมุนไพรไม่สูญหายไป</t>
  </si>
  <si>
    <t>มีหนังสือทางวิชาการเผยแพร่ ชื่อ  “มาตรฐานตำรับยาสมุนไพร UBU specification series 1 : ตำรับยาแก้ไข้จันทน์ลีลา”  เผยแพร่ จำนวน 1 เล่ม</t>
  </si>
  <si>
    <t xml:space="preserve"> จำนวน 1 เล่ม</t>
  </si>
  <si>
    <t>เล่ม</t>
  </si>
  <si>
    <t xml:space="preserve">มีการบูรณาการกับ  
 - การเรียนการสอนวิชาเภสัชพฤกษศาสตร์, เภสัชเวท1, เภสัชเวท           - การวิจัยพืชสมุนไพรเรื่องการจัดทำมาตรฐานสมุนไพรไทย เพื่อบรรจุในตำรามาตรฐานยาสมุนไทย 
 - การบริการวิชาการ เรื่องการจัดทำพิพิธภัณฑ์สมุนไพรไทยเขตอีสานใต้, การจัดทำฐานข้อมูลสมุนไพรไทยเขตอีสานใต้ </t>
  </si>
  <si>
    <t xml:space="preserve">1.จำนวนคำถามต่อเดือนไม่น้อยกว่า 20 คำถามต่อเดือน (โดยเฉลี่ยวันละ 1 คำถาม)
2.ผู้รับบริการได้ข้อมูลที่ถูกต้อง ร้อยละ 100
- การตอบคำถามทันต่อเวลาที่ต้องการใช้ ร้อยละ 80
- ผู้รับบริการมีความพึงพอใจ ร้อยละ 80
</t>
  </si>
  <si>
    <t xml:space="preserve">1.ไม่น้อยกว่า 20 คำถามต่อเดือน
2.ข้อมูลที่ถูกต้อง ร้อยละ 100
- การตอบคำถามทันต่อเวลาร้อยละ 80
- ความพึงพอใจ ร้อยละ 80
</t>
  </si>
  <si>
    <t xml:space="preserve">1.คำถาม
2.ร้อยละ   </t>
  </si>
  <si>
    <t>แผนงานรองรับความจำเป็นเร่งด่วน (โดยใช้เงินกองทุนส่งเสริมและพัฒนาการผลิตบัณฑิต)</t>
  </si>
  <si>
    <t>(7.39)</t>
  </si>
  <si>
    <t>(7.40)</t>
  </si>
  <si>
    <t xml:space="preserve">เพื่อพัฒนาระบบการประเมินภาระงาน และการประเมินระบบบริหารของหน่วยงาน </t>
  </si>
  <si>
    <t>การบริหาร งานบรรลุตามยุทธศาสตร์ และพันธกิจที่กำหนด</t>
  </si>
  <si>
    <t xml:space="preserve"> เพื่อให้มีการจัดกิจกรรมอนุรักษ์ อนุรักษ์พลังงานต่างๆ ที่มีอย่างจำกัด เช่น การใช้ไฟฟ้า การใช้น้ำมันเชื้อเพลิงต่างๆ</t>
  </si>
  <si>
    <t>มีกิจกรรมอนุรักษ์พลังงานจำนวนไม่น้อยกว่า 1 กิจกรรม</t>
  </si>
  <si>
    <t>ไม่น้อยกว่า 1 กิจกรรม</t>
  </si>
  <si>
    <t>กิจกรรม</t>
  </si>
  <si>
    <t>การใช้พลังงานต่างๆ ลดลด</t>
  </si>
  <si>
    <t>(4.2)</t>
  </si>
  <si>
    <t>และทักษะการทำวิจัย  ที่สามารถบูรณาการความรู้และประสบการณ์  เพื่อการแก้ปัญหาต่างๆ ของท้องถิ่น</t>
  </si>
  <si>
    <t xml:space="preserve">1. เพื่อขยายโอกาสทาง การศึกษา โดยเฉพาะในเขตภาคตะวัน ออก เฉียงเหนือตอนใต้ 
2. เพื่อผลิตบัณฑิตที่มีความ รู้ ความสามารถ </t>
  </si>
  <si>
    <t xml:space="preserve">1. จำนวนนักศึกษาใหม่  ที่รับจริง/จำนวนรับตามแผน ในแต่ละ ปีไม่น้อยกว่าร้อยละ 50  (แยกตามสาขา)
2. บัณฑิตที่สำเร็จการ </t>
  </si>
  <si>
    <t xml:space="preserve">ศึกษา/จำนวนรับเข้า ในแต่ละปีไม่น้อยกว่าร้อยละ 80 (แยกตามสาขา)
</t>
  </si>
  <si>
    <t>ซ่อมครุภัณฑ์รวม  6 รายการ</t>
  </si>
  <si>
    <t>มีการประชุม 3 ครั้ง ผู้เข้าร่วมประชุมมากกว่าร้อยละ50</t>
  </si>
  <si>
    <t>จัดโครงการแล้ว เมื่อวันที่ 25 มิ.ย.54 อยู่ระหว่างสรุปผล</t>
  </si>
  <si>
    <t>เก็บรวบรวมเครื่องยาได้ครบ 150 ชนิดแล้ว กำลังรวบรวมข้อมูลขึ้นเวปไซต์</t>
  </si>
  <si>
    <t>อยู่ระหว่างจัดทำหนังสือ</t>
  </si>
  <si>
    <t>ผลการดำเนินการ คือยังไม่ได้ผลิตตำรับยาจากสมุนไพรเพิ่ม</t>
  </si>
  <si>
    <r>
      <t xml:space="preserve">ดำเนินการไปแล้วเมื่อเดือนพฤศจิกายน 2553 และสรุปโครงการเรียบร้อยแล้ว  </t>
    </r>
    <r>
      <rPr>
        <sz val="12"/>
        <color rgb="FFFF0000"/>
        <rFont val="Angsana New"/>
        <family val="1"/>
      </rPr>
      <t xml:space="preserve"> </t>
    </r>
    <r>
      <rPr>
        <b/>
        <u val="singleAccounting"/>
        <sz val="12"/>
        <color rgb="FFFF0000"/>
        <rFont val="Angsana New"/>
        <family val="1"/>
      </rPr>
      <t>(แต่ยังไม่ส่งรายงานการเบิกจ่ายและรายงานผลการดำเนินงาน)</t>
    </r>
  </si>
  <si>
    <t>อยู่ในระหว่างดำเนินการโครงการ โดยได้ขออนุมัติยืมเงินโครงการงวดที่ 1 จำนวนเงิน 41,000 บาทถ้วน</t>
  </si>
  <si>
    <t>ยังไม่ได้ดำเนินโครงการ</t>
  </si>
  <si>
    <t>อยู่ระหว่างดำเนินการและอยู่ระหว่างขออนุมัติยิมเงิน สสส.</t>
  </si>
  <si>
    <t>ได้ดำเนินงานโครงการไปแล้ว โดยจัดประชุมวิชาการเมื่อวันที่ 27 เมษายน 2554 โดยเบิกงบประมาณในการดำเนินงานโครงการ จำนวน 130,000 บาท (แบ่งเป็น 2 งวด งวดที่ 1 จำนวน 57,720 บาท และงวดที่ 2 จำนวน 72,280 บาท ขณะนี้อยู่ในระหว่างเตรียมเอกสารเบิกจ่ายและสรุปโครงการ</t>
  </si>
  <si>
    <t>อยู่ระหว่างดำเนินการ โดยได้ขออนุมัติเบิกเงินงวดที่ 1 จำนวน 72,000 บาท</t>
  </si>
  <si>
    <t>ยังไม่ได้ดำเนินโครงการ แต่มีแผนจะดำเนินโครงการในช่วงเดือน มิ.ย. -ส.ค. 54</t>
  </si>
  <si>
    <t>1.นักศึกษาชั้นปีที่ 2 ที่เข้ารับการอบรม ร้อยละ 100
2. นักศึกษา ที่เข้ารับการอบรมมีความ เข้าใจบทบาทของรายวิชาชีวเภสัชศาสตร์และความเกี่ยวข้องกับวิชาชีพในอนาคตโดยมีค่าคะแนน  3.98</t>
  </si>
  <si>
    <t>1. ห้องประชุม สื่อและอุปกรณ์ไม่ดี 2. เวลาน้อยเกินไป  3. อาหารไม่หลากหลายและไม่เพียงพอ</t>
  </si>
  <si>
    <t>จัดทำโครงการ ขออนุมัติและยืมเงินเพื่อดำเนินงาน กำหนดคณะกรรมการดำเนินงาน   เตรียมนัดประชุมเพื่อจัดทำแผน</t>
  </si>
  <si>
    <t>อยู่ในระหว่างดำเนินการ</t>
  </si>
  <si>
    <t>ไม่มี</t>
  </si>
  <si>
    <t>จัดประชุมกลุ่มวิชา ครั้งที่ 6-8/2554 เป็นจำนวน 3 ครั้ง</t>
  </si>
  <si>
    <t>มี หรือ ไม่มี</t>
  </si>
  <si>
    <t>เดือนกรกฏาคม - กันยายน 2554</t>
  </si>
  <si>
    <t>1. เพื่อสำรวจความต้องการของเภสัชกร บุคลากรทางการแพทย์ วิทยาศาสตร์บัณฑิต และนักศึกษาสาขาวิทยาศาสตร์สุขภาพ ในการศึกษาต่อหลักสูตรระดับบัณฑิตศึกษา ของกลุ่มวิชาชีวเภสัชศาสตร์
2. เพื่อสำรวจความเห็นและความต้องการของเภสัชกร บุคลากรทางการแพทย์ และวิทยาศาสตร์บัณฑิต ต่อรูปแบบการเรียนการสอนในหลักสูตรระดับบัณฑิตศึกษา ของกลุ่มวิชาชีวเภสัชศาสตร์</t>
  </si>
  <si>
    <t>1. ทราบความต้องการของเภสัชกร บุคลากรทางการแพทย์ วิทยาศาสตร์บัณฑิต และนักศึกษาสาขาวิทยาศาสตร์สุขภาพ ในการศึกษาต่อหลักสูตรระดับบัณฑิตศึกษา ของกลุ่มวิชาชีวเภสัชศาสตร์
2. ทราบความเห็นและความต้องการของเภสัชกร บุคลากรทางการแพทย์ และวิทยาศาสตร์บัณฑิต ต่อรูปแบบการเรียนการสอนในหลักสูตรระดับบัณฑิตศึกษา ของกลุ่มวิชาชีวเภสัชศาสตร์</t>
  </si>
  <si>
    <t>1. มีผลการสำรวจความต้องการศึกษาต่อในหลักสูตรระดับบัณฑิตศึกษา ของกลุ่มวิชาชีวเภสัชศาสตร์
2. มีการนำผลการสำรวจความต้องการดังกล่าวมาใช้ประกอบในการร่างหลักสูตรระดับบัณฑิตศึกษา ของกลุ่มวิชาชีวเภสัชศาสตร์</t>
  </si>
  <si>
    <t>จัดทำโครงการ ขออนุมัติและยืมเงินเพื่อดำเนินงาน กำหนดคณะกรรมการดำเนินงาน   เตรียมนัดประชุมเพื่อดำเนินโครงการ</t>
  </si>
  <si>
    <t>อยู่ในระหว่างการดำเนินการสรุปผลการดำเนินโครงการ</t>
  </si>
  <si>
    <t>แต่งตั้งคณะกรรมการดำเนินงานฯ ประชุมคณะอนุกรรมการฝ่ายต่างๆ ประชาสัมพันธ์การจัดประชุมวิชาการไปยังหน่วยงานต่างๆ เรียนเชิญวิทยากร กำหนดรูปแบบกิจกรรม จองสถานที่ อาหาร เอกสาร ยานพาหนะ</t>
  </si>
  <si>
    <t>วิทยากรติดราชการด่วน จึงมีการเปลี่ยนแปลงวิทยากร ไม่เป็นไปตามกำหนดการในแผ่นพับประชาสัมพันธ์ ทั้งนี้ ได้แจ้งประชาสัมพันธ์การเปลี่ยนแปลงทางเว็บไซด์ และส่งจดหมายอิเล็กทรอนิกส์ไปยังเครือข่ายเภสัชกรภาคตะวันออกเฉียงเหนือ</t>
  </si>
  <si>
    <t>จัดทำโครงการเพื่อส่งอนุมัติและเบิกเงิน</t>
  </si>
  <si>
    <t>วางแผนกำหนดคณะกรรมการดำเนินงาน   จัดทำ (ร่าง) กำหนดการ  กำหนดผู้ประสานงานฝ่ายต่างๆ  กำหนดรูปแบบกิจกรรม</t>
  </si>
  <si>
    <t>ประชุมกลุ่มวิชา ครั้งที่ 15-18/2553 เป็นจำนวน 4 ครั้ง</t>
  </si>
  <si>
    <t>ประชุมคณะกรรมการดำเนินงานจัดทำ(ร่าง) กำหนด การบริการวิชาการ  กำหนดรูปแบบกิจกรรม ติดต่อประสานงานจัดกิจกรรมที่โรงเรียนบ้านศรีไค</t>
  </si>
  <si>
    <t xml:space="preserve">ดำเนินโครงการแล้วเสร็จ โดยจัดอบรมเมื่อวันที่ 16    กุมภาพันธ์ 2554 
จำนวนผู้ร่วมโครงการ  226  คน  </t>
  </si>
  <si>
    <t>ประชุมคณะกรรมการดำเนินงานจัดประชุมวิชาการจัดทำ (ร่าง) กำหนดการประชุมวิชาการฯ กำหนดผู้ประสานงานฝ่ายต่างๆ การเรียนเชิญวิทยากร กำหนดรูปแบบกิจกรรม เตรียมการประชาสัมพันธ์ไปยังหน่วยงานต่างๆ เพื่อเข้าร่วมประชุมวิชาการฯ</t>
  </si>
  <si>
    <t xml:space="preserve">ดำเนินการประชุมวิชาการเครือข่ายเภสัชกรภาคตะวันออกเฉียงเหนือ ในวันที่ 27-28 เมษายน. 2554
ณ โรงแรมลายทอง   จังหวัดอุบลราชธานี
</t>
  </si>
  <si>
    <t>อยู่ระหว่างรอ 3 แหล่งฝึกแจ้งรับค่าตอบแทน</t>
  </si>
  <si>
    <t>รอดำเนินการ</t>
  </si>
  <si>
    <t>นิเทศงานแหล่งฝึกปฏิบัติงานวิชาชีพ 80 % จำนวนแหล่งฝึกทั้งหมดและมีการประชุมสรุปงาน 1ครั้งภายหลังการนิเทศงาน</t>
  </si>
  <si>
    <t>อยู่ระหว่างดำเนินการปิดโครงการ</t>
  </si>
  <si>
    <t>เบิกจ่ายค่าตอบแทนให้ครบจำนวนแหล่งฝึก ครบถ้วน ร้อยละ 100</t>
  </si>
  <si>
    <t>ดำเนินการเสร็จแล้ว  นักศึกษาได้รับการเตรียมความพร้อม 100% ของจำนวนนักศึกษาที่พร้อมออกฝึกปฏิบัติงาน</t>
  </si>
  <si>
    <t>อยู่ระหว่างการดำเนินการ</t>
  </si>
  <si>
    <t xml:space="preserve">ปรับแผนเป็นหมวดเงินอุดหนุน  ฝึกปฏิบัติงานวิชาชีพ เพื่อสนับสนุน 3 โครงการ คือ โครงการเภสัชศาสตร์ศึกษา,  โครงการความร่วมมือทางวิชาการระหว่าง Lawrence Memorial Hospital, โครงการ MOU
และคณะเภสัชศาสตร์ มหาวิทยาลัยอุบลราชธานี
</t>
  </si>
  <si>
    <t xml:space="preserve">ผู้เข้าร่วมโครงการ 43 คน จากจำนวนอาจารย์ทั้งหมด 47 คน </t>
  </si>
  <si>
    <t>อยู่ระหว่างการรายงานผลการดำเนินงาน</t>
  </si>
  <si>
    <t>วงเงินที่ขออนุมัติในแผนประจำปี 2554  70,000 บาท  วงเงินที่ขออนุมัติในโครงการ 60,000 บาท เบิกจ่ายโครงการ 52,200 บาท</t>
  </si>
  <si>
    <t>1. หลักสูตรปริญญาตรีอยู่ระหว่างรวบรวม มคอ. 2  และ มคอ.3 และจะมีการแต่งตั้งคณะกรรมการปรับปรุงหลักสูตร เดือน พ.ย.2554 
2. หลักสูตรปริญญาโท
อยู่ระหว่างรวบรวม มคอ. 2  และ มคอ.3 และได้แต่งตั้งคณะกรรมการปรับปรุงหลักสูตรไปแล้ว ได้นำเสนอหลักสูตรต่อคณะ</t>
  </si>
  <si>
    <t>กรรมการประจำคณะ และเสนอคณะกรรมการพิจารณากลั่นกรองการอนุมัติหลักสูตรของสภามหาวิทยาลัยอุบลราชธานี (ในการประชุมครั้งที่ 6/2554 )วันที่  18 เม.ย.54
 (PH 2.1-1.11) เพื่อเสนอสภามหาวิทยาลัยพิจารณาต่อไป</t>
  </si>
  <si>
    <r>
      <t>ดำเนินงานแล้วเสร็จ ในวันที่ 10 มิ.ย. 54 ส่งรูปเล่มรายงานโครงการแล้ว (</t>
    </r>
    <r>
      <rPr>
        <u val="singleAccounting"/>
        <sz val="12"/>
        <rFont val="Angsana New"/>
        <family val="1"/>
      </rPr>
      <t>รอสรุปข้อมูลรายงานการเบิกจ่ายงบประมาณ</t>
    </r>
    <r>
      <rPr>
        <sz val="12"/>
        <rFont val="Angsana New"/>
        <family val="1"/>
      </rPr>
      <t>)</t>
    </r>
  </si>
  <si>
    <r>
      <t xml:space="preserve">(2) งบรองรับโครงการย่อยการฝึกปฏิบัติงานวิชาชีพ  </t>
    </r>
    <r>
      <rPr>
        <sz val="14"/>
        <rFont val="Angsana New"/>
        <family val="1"/>
      </rPr>
      <t>ประกอบด้วย</t>
    </r>
  </si>
  <si>
    <t>เบิกจ่ายวันนที่ 7 กรกฎาคม 2554 วงเงิน 698,320 บาท</t>
  </si>
  <si>
    <t>เบิกจ่ายวันที่ 9 ธันวาคม 2553 วงเงิน 757,430 บาท</t>
  </si>
  <si>
    <t>1.มีรายงาน ภาระงานในระบบฐานข้อมูลภาระงาน จำนวน 2 ครั้ง คือ รอบสิ้นสุดเดือนกันยายน 2553 เพื่อเบิกจ่ายค่าตอบแทนในเดือนธันวาคม 2553  และรอบเดือนมีนาคม 2554  เพื่อเบิกค่าตอบแทนเดือนกรกฎาคม 2554           2.มีการจัดสรรค่าตอบแทนตามเกณฑ์ จำนวน 2 ครั้ง</t>
  </si>
  <si>
    <t>ดำเนินงานโครงการระหว่างวันที่ 4-7 มกราคม 2554 และเบิกจ่ายเงินโครงการจำนวน 41.895 บาท</t>
  </si>
  <si>
    <t>1. จำนวนผู้เข้า  ร่วมโครงการ 2. ความพึงพอใจในการเข้าร่วมโครงการ</t>
  </si>
  <si>
    <t>1. จำนวนผู้เข้าร่วมโครงการ 85 คน (คิดเป็นร้อยละ 85)                   2. ความพึงพอใจในการเข้าร่วมโครงการ</t>
  </si>
  <si>
    <t>1.ประโยชน์ ที่ได้รับจาก การเข้าร่วม กิจกรรมโครงการ  เท่ากับ 4.36
2. ความพึงพอใจของผู้เข้าร่วมโครงการ เท่ากับ 4.38</t>
  </si>
  <si>
    <t>ดำเนินการไปแล้วในระหว่างวันที่ 1-3 เมษายน 2554 และเบิกจ่ายเงินจำนวนทั้งสิ้น 194,130 บาท</t>
  </si>
  <si>
    <t>ใม่มี</t>
  </si>
  <si>
    <r>
      <t xml:space="preserve">โครงการพัฒนาบุคลากรมุ่งมั่นสู่ความสำเร็จ ( </t>
    </r>
    <r>
      <rPr>
        <b/>
        <u/>
        <sz val="12"/>
        <rFont val="Angsana New"/>
        <family val="1"/>
      </rPr>
      <t>ได้รับอนุมัติให้ปรับแผนโดยได้รับจัดสรรงบประมาณ จำนวน 300,000 บาท)</t>
    </r>
  </si>
  <si>
    <t>อยู่ในระหว่างดำเนินงานโครงการ</t>
  </si>
  <si>
    <t>ดำเนินการไปแล้วในระหว่างวันที่ 15-19 มีนาคม 2554  โดยเบิกจ่ายเงินจำนวนทั้งสิ้น 72,745 บาท</t>
  </si>
  <si>
    <t>1. ผู้แทนบุคลากรสายสนับสนุนจากงานต่างๆได้รับการเพิ่มพูนความรู้และประสบการณ์ครบถ้วนทุกงาน คิดเป็นร้อยละ 100                 2.ผู้ร่วมโครงการมีแผนและผลการพัฒนาปรับ ปรุงงานในความรับผิดชอบ</t>
  </si>
  <si>
    <t>ชะลอการดำเนินงานโดยขอเลื่อนไปจัดในปีงบประมาณ 2555</t>
  </si>
  <si>
    <t xml:space="preserve"> - </t>
  </si>
  <si>
    <t>1.เพื่อผลิตบัณฑิตที่มีคุณภาพตามเกณฑ์วิชา ชีพและเป็นบัณฑิตที่พึงประสงค์ของ</t>
  </si>
  <si>
    <t>บัณฑิตที่สำเร็จการศึกษามีความรู้และทักษะทางวิชาชีพตาม</t>
  </si>
  <si>
    <t>1. ร้อยละนักศึกษาใหม่ที่รับจริงต่อจำนวนรับตามแผน  2. ร้อยละ</t>
  </si>
  <si>
    <r>
      <rPr>
        <b/>
        <sz val="14"/>
        <rFont val="Angsana New"/>
        <family val="1"/>
      </rPr>
      <t>(1) โครงการรองรับการผลิตบัณฑิตระดับปริญญาตรี</t>
    </r>
    <r>
      <rPr>
        <sz val="14"/>
        <rFont val="Angsana New"/>
        <family val="1"/>
      </rPr>
      <t xml:space="preserve">  - ประกอบด้วย</t>
    </r>
  </si>
  <si>
    <t>อยู่ในระหว่างดำเนินงาน</t>
  </si>
  <si>
    <t>เบิกจ่ายเงินจำนวน 44,850 บาท</t>
  </si>
  <si>
    <t>ตัดชุดสูทให้บุคลากรสำหรับสวมใส่ในการเข้างานพิธีต่างๆ ของคณะและมหวิทยาลัยเพิ่มเติม จำนวน 23 ชุด</t>
  </si>
  <si>
    <t>แบบฟอร์มรายงานผลการดำเนินงานโครงการแผนปฏิบัติการประจำปีงบประมาณ พ.ศ. 2554 รายไตรมาส</t>
  </si>
  <si>
    <t>สำนักงานเลขานุการ/งานวิชาการ (งบกลาง)</t>
  </si>
  <si>
    <t>ไม่ส่งรายงานผลการดำเนินงานในไตรมาสที่ 3</t>
  </si>
  <si>
    <t>ดำเนินการเสร็จสิ้นแล้วในวันที่ 18 ส.ค. 2554 อยู่ระหว่ารวบรวมเอกสารการเบิกจ่าย และจัดทำรายงายการประเมินผลโครงการ</t>
  </si>
  <si>
    <t>ใม่ส่งรายงานผลการดำเนินงานในไตรมาสที่ 3</t>
  </si>
  <si>
    <t>มีการประชุมติดตามผลการดำเนินงาน 2 ครั้ง</t>
  </si>
  <si>
    <t>อยู่ในระหว่างดำเนินการจัดกิจกรรม  คาดว่าจะดำเนินการแล้วแสร็จในเดือนกันยายน 2554</t>
  </si>
  <si>
    <t>ดำเนินการเสร็จสิ้นแล้วในวันที่ 7-11 ส.ค. 2554 อยู่ระหว่ารวบรวมเอกสารการเบิกจ่าย และจัดทำรายงายการประเมินผลโครงการ</t>
  </si>
  <si>
    <t>อยู่ระหว่ารวบรวมเอกสารการเบิกจ่าย และจัดทำรายงายการประเมินผลโครงการ</t>
  </si>
  <si>
    <t>อยู่ในระหว่างดำเนินการโครงการระยะที่ 2 (เดือนเม.ย. - ก.ย. 54)  โดยได้ยืมเงินงวดที่ 2  จำนวน 8,125 บาท ทั้งนี้เงินงวดที่ 1 ได้ส่งเอกสารเบิกจ่ายไปแล้วจำนวน 8,075 บาท</t>
  </si>
  <si>
    <t>ดำเนินการเสร็จสิ้นแล้วในวันที่ 20 พ.ค. 2554 อยู่ระหว่ารวบรวมเอกสารการเบิกจ่าย และจัดทำรายงายการประเมินผลโครงการ</t>
  </si>
  <si>
    <t>วงเงินที่ขออนุมัติในโครงการ 350,000 บาท วงเงินเบิกจ่าย 286,129.95 บาท</t>
  </si>
  <si>
    <t>อยู่ระหว่างเบิกจ่าย สรุปค่าใช้จ่ายจำนวน 56,063 บาท</t>
  </si>
  <si>
    <t>1. มีแผนงานการดำเนินการประกันคุณภาพ และมีคู่มือดำเนินงานตามตัวบ่งชี้ (SOP) ระดับคณะปี 2553-2554
2. มีโครงร่างองค์กร  และรายงานผลการปฏิบัติงานตามแผน 1 ฉบับ
3. มีแฟ้มสะสมงานครบตามองค์ประกอบและดัชนีบ่งชี้คุณภาพของการประกันคุณภาพการศึกษา
4. มีรายงานการประเมินตนเอง 1 เล่ม
5. มีการตรวจประเมินคุณภาพภายใน 1 ครั้ง</t>
  </si>
  <si>
    <t>ชะลอการดำเนินงาน อยู่ระหว่างการรวบรวมข้อมูลเพื่อจัดพิมพ์</t>
  </si>
  <si>
    <t>เบิกจ่ายแล้วจำนวน 30,595 บาท เพื่อผลิตสารเภสัชศาสตร์ จำนวน 2 เล่ม
อยู่ระหว่างเบิกจ่ายจำนวน 15,000 บาท เพื่อผลิตเล่มที่ 3</t>
  </si>
  <si>
    <t>เบิกจ่ายเงินงวดที่ 3 จำนวน 190,000 บาท</t>
  </si>
  <si>
    <t>ชะลอการดำเนินงานในปี 2554</t>
  </si>
  <si>
    <t>เบิกจ่ายเงินงวดที่ 3 จำนวน 680 บาท</t>
  </si>
  <si>
    <t>เบิกจ่ายเงินงวดที่ 3 จำนวน 250,000 บาท</t>
  </si>
  <si>
    <t>เบิกจ่ายเงินงวดที่ 3 จำนวน 40,000 บาท</t>
  </si>
  <si>
    <t>ดำเนินการเบิกจ่ายแล้วจำนวนเงิน    บาท</t>
  </si>
  <si>
    <t xml:space="preserve">รายงานผลการดำเนินงานโครงการแผนปฏิบัติการประจำปีงบประมาณ พ.ศ. 2554 คณะเภสัชศาสตร์ มหาวิทยาลัยอุบลราชธานี   </t>
  </si>
  <si>
    <t>ได้รับความเห็นชอบจากที่ประชุมคณะกรรมการวางแผนการดำเนินงานแล้ว   ในการประชุมครั้งที่ 1/2554 เมื่อวันที่ 18  พฤษภาคม 2554</t>
  </si>
  <si>
    <t>แผนงาน/โครงการ</t>
  </si>
  <si>
    <t>จำนวนโครงการ/กิจกรรมย่อย</t>
  </si>
  <si>
    <t>วงเงินที่ได้รับอนุมัติตามแผน (บาท)</t>
  </si>
  <si>
    <t>งบประมาณที่จ่ายจริงไตรมาสที่ 1 (บาท)</t>
  </si>
  <si>
    <t>งบประมาณที่จ่ายจริงไตรมาสที่ 2 (บาท)</t>
  </si>
  <si>
    <t>ผลการดำเนินงานในช่วงไตรมาสที่ 3</t>
  </si>
  <si>
    <t>ร้อยละของการบรรจุตามดัชนีบ่งชี้ความสำเร็จ</t>
  </si>
  <si>
    <t>ยังไม่ดำเนินการ</t>
  </si>
  <si>
    <t>ดำเนินการแล้วเสร็จ</t>
  </si>
  <si>
    <t>ยกเลิก/ชะลอการดำเนินงาน</t>
  </si>
  <si>
    <t>ก. แผนงานผลิตบัณฑิต</t>
  </si>
  <si>
    <t xml:space="preserve"> - โครงการผลิตบัณฑิตระดับปริญญาตรี</t>
  </si>
  <si>
    <t>1 โครงการ</t>
  </si>
  <si>
    <t>5 โครงการ</t>
  </si>
  <si>
    <t>4 โครงการ</t>
  </si>
  <si>
    <t xml:space="preserve"> - โครงการฝึกปฏิบัติงานวิชาชีพ </t>
  </si>
  <si>
    <t>3 โครงการ</t>
  </si>
  <si>
    <t>2 โครงการ</t>
  </si>
  <si>
    <t xml:space="preserve"> - โครงการผลิตบัณฑิตระดับปริญญาตรี (เงินรายได้)</t>
  </si>
  <si>
    <t xml:space="preserve"> - โครงการผลิตบัณฑิตระดับบัณฑิตศึกษา</t>
  </si>
  <si>
    <t xml:space="preserve"> - โครงการผลิตบัณฑิตระดับประกาศนียบัตรบัณฑิต</t>
  </si>
  <si>
    <t xml:space="preserve"> - โครงการส่งเสริมและพัฒนาการผลิตบัณฑิตคณะเภสัชศาสตร์</t>
  </si>
  <si>
    <t>7 โครงการ</t>
  </si>
  <si>
    <t>ข.แผนงานวิจัย</t>
  </si>
  <si>
    <t xml:space="preserve"> - การดำเนินงานวิจัยเพื่อพัฒนาองค์ความรู้ </t>
  </si>
  <si>
    <t xml:space="preserve"> - การดำเนินงานวิจัย เพื่อถ่ายทอดเทคโนโลยี</t>
  </si>
  <si>
    <t xml:space="preserve"> - โครงการรองรับการพัฒนาระบบงานวิจัย</t>
  </si>
  <si>
    <t>ค. แผนงานบริการวิชาการแก่ชุมชน</t>
  </si>
  <si>
    <t xml:space="preserve"> - โครงการบริการวิชาการแก่ชุมชน</t>
  </si>
  <si>
    <t xml:space="preserve"> - โครงการรองรับงานบริการวิชาการแก่ชุมชน</t>
  </si>
  <si>
    <t>ง. แผนงานทำนุบำรุงศิลปวัฒนธรรม</t>
  </si>
  <si>
    <t xml:space="preserve"> - โครงการทำนุบำรุงศิลปวัฒนธรรม</t>
  </si>
  <si>
    <t xml:space="preserve"> - โครงการรองรับงานทำนุบำรุงศิลปวัฒนธรรม</t>
  </si>
  <si>
    <t>จ. โครงการที่ปรับเพิ่มในแผนปฏิบัติการประจำปี 2554</t>
  </si>
  <si>
    <t>คิดเป็นร้อยละ</t>
  </si>
  <si>
    <t>ของแผน</t>
  </si>
  <si>
    <t>2) การขออนุมัติปรับแผนการดำเนินงานในช่วงไตรมาสที่ 1 และไตรมาสที่ 2  เพื่อเสนอที่ประชุมคณะกรรมการประจำคณะฯ พิจารณา</t>
  </si>
  <si>
    <t>โดยมีกลุ่มวิชา/กลุ่มงานเสนอขอปรับโครงการในแผนปฏิบัติการคณะเภสัชศาสตร์ ประจำปีงบประมาณ 2554 ดังนี้</t>
  </si>
  <si>
    <r>
      <rPr>
        <b/>
        <u/>
        <sz val="16"/>
        <rFont val="Angsana New"/>
        <family val="1"/>
      </rPr>
      <t xml:space="preserve">มติที่ประชุมคณะกรรมการวางแผนดำเนินงาน </t>
    </r>
    <r>
      <rPr>
        <sz val="16"/>
        <rFont val="Angsana New"/>
        <family val="1"/>
      </rPr>
      <t xml:space="preserve">   เห็นชอบให้เสนอขออนุมัติเบิกจ่ายจากเงินสะสม</t>
    </r>
  </si>
  <si>
    <t>3) ปัญหาและอุปสรรคที่พบในระหว่างในการดำเนินงานตามแผนปฏิบัติการคณะเภสัชศาสตร์ ประจำปี 2554 ไตรมาสที่ 1 และไตรมาสที่ 2   เพื่อเสนอที่ประชุมคณะกรรมการประจำคณะฯ พิจารณา</t>
  </si>
  <si>
    <t xml:space="preserve">มติที่ประชุมคณะกรรมการวางแผนการดำเนินงานคณะเภสัชศาสตร์ </t>
  </si>
  <si>
    <t>มติที่ประชุมคณะกรรมการวางแผนดำเนินงานฯ เพื่อเสนอต่อคณะกรรมการประจำคณะฯ</t>
  </si>
  <si>
    <t>ในช่วงไตรมาสที่ 3 (เดือนตุลาคม 2553  - มิถุนายน 2554)</t>
  </si>
  <si>
    <t>1) รายงานผลการดำเนินงานโครงการในแผนปฏิบัติการในช่วงไตรมาสที่  3</t>
  </si>
  <si>
    <t>งบประมาณที่จ่ายจริงไตรมาสที่ 3 (บาท)</t>
  </si>
  <si>
    <t>ขออนุมัติโครงการ 38,000 บาท วงเงินเบิกจ่าย 22,894 บาท ดำเนินการเรียบร้อยแล้ว อยู่ในระหว่างสรุปผลการดำเนินงาน</t>
  </si>
  <si>
    <t xml:space="preserve"> ดำเนินการเรียบร้อยแล้ว โดยเสนอขอเปลี่ยนชื่อเป็น โครงการเตรียมความพร้อมเพื่อเพิ่มพูนทักษะความรู้ความสามารถทางวิชาการตามเกณฑ์มาตรฐานทางวิชาชีพของนักศึกษาเภสัชศาสตร์   จากเดิมของบ 32,000 บาท ขอปรับเป็น 18,000 บาท  อยู่ในระหว่างสรุปผลการดำเนินงาน</t>
  </si>
  <si>
    <t>ขอขยายระเวลาดำเนินงาน</t>
  </si>
  <si>
    <t>ถึงเดือนกุมภาพันธ์</t>
  </si>
  <si>
    <r>
      <t xml:space="preserve"> 2554 ปัจจุบันดำเนินการเสร็จแล้ว อยู่ในระหว่างสรุปผลการดำเนินงานและสรุปรายงานการเบิกจ่าย และ  </t>
    </r>
    <r>
      <rPr>
        <b/>
        <u val="singleAccounting"/>
        <sz val="12"/>
        <color rgb="FF000099"/>
        <rFont val="Angsana New"/>
        <family val="1"/>
      </rPr>
      <t>ปรับลดงบเหลือ 60,000 บาท</t>
    </r>
  </si>
  <si>
    <t>ดำเนินการแล้ว อยู่ในระหว่างสรุปและรายงานผลการดำเนินงานและรายงานการเบิกจ่าย</t>
  </si>
  <si>
    <t>ขออนุมัติยืมเงินงวดที่ 1 จำนวน 50,000 บาท โดยได้มีการจัดสัมมนาที่เขื่อนสิริธรและมีการประชุมคณะกรรมการประกันคุณภาพ  ปัจจุบันอยู่ในระหว่างการดำเนินงานและเตรียมขออนุมัติยืมเงินงวดที่ 2 เพื่อรองรับการตรวจประเมินคุณภาพ</t>
  </si>
  <si>
    <t xml:space="preserve"> - เงิกจ่ายเงินงวดที่ 1 46,923.10 บาท และงวดที่ 2 จำนวน 36,495 บาท ได้มีการซ่อมแซมครุภัณฑ์ในไตรมาสที่ 1 จำนวน 11 รายการ และไตรมาสที่ 2 ซ่อมแซม จำนวน 3 รายการ จำนวน76,759.10 บาท</t>
  </si>
  <si>
    <t>อยู่ในระหว่างการสอบวงเงินเบิกจ่ายงบประมาณที่ได้รับจัดสรรจากมหาวิทยาลัยฯ</t>
  </si>
  <si>
    <t>อยู่ในระหว่างดำเนินการ โดยได้ขออนุมัติปรับวงเงินเพิ่มเป็น 140,000 บาท เพื่อให้รองรับการปรับปรุงหลักสูตรได้ครบทั้ง 5 หลักสูตร</t>
  </si>
  <si>
    <t>คาดว่าจะดำเนินการในเดือนสิงหาคม 2554</t>
  </si>
  <si>
    <t xml:space="preserve"> - เบิกงวดที่ 1 แล้วจำนวน 600,500 บาท</t>
  </si>
  <si>
    <t xml:space="preserve"> - อยู่ในระหว่างการดำเนินงาน</t>
  </si>
  <si>
    <t xml:space="preserve"> - เบิกเงินงวดที่ 1 จำนวน 55,014 บาท</t>
  </si>
  <si>
    <t xml:space="preserve">ดำเนินการแล้ว อยู่ในระหว่างสรุปและรายงานผล </t>
  </si>
  <si>
    <t>ยังไม่ดำเนินการ กำหนดจัดในเดือนกรกฎาคม 2554</t>
  </si>
  <si>
    <t xml:space="preserve">ยังไม่ดำเนินการ  </t>
  </si>
  <si>
    <t>ยังไม่ดำเนินการ คาดว่าจะดำเนินการในเดือนสิงหาคม 2554</t>
  </si>
  <si>
    <t>ดำเนินการแล้วในเดือนมีนาคม 2554 ใช้งบประมาณ 107,000 บาท และคาดว่าจะดำเนินการช่วงที่ 2 ในเดือนกรกฎาคม 2554</t>
  </si>
  <si>
    <t>ดำเนินการแล้ว อยู่ในระหว่างสรุปและรายงานผลการดำเนินงานและการเบิกจ่าย</t>
  </si>
  <si>
    <t xml:space="preserve">อยู่ในระหว่างดำเนินการ โดยขออนุมัติยืมเงินงวดที่ 1 จำนวน 41,000 บาท </t>
  </si>
  <si>
    <t>(3.8)</t>
  </si>
  <si>
    <t>ดำเนินการเสร็จแล้ว อยู่ในระหว่างสรุปผลการดำเนินงาน</t>
  </si>
  <si>
    <r>
      <t xml:space="preserve">โครงการประกวดแผนการตลาดสำหรับผลิตภัณฑ์หใหม่ที่เกี่ยวกับสุขภาพ </t>
    </r>
    <r>
      <rPr>
        <b/>
        <sz val="14"/>
        <rFont val="Angsana New"/>
        <family val="1"/>
      </rPr>
      <t>(เสนอขออนุมัติปรับแผนแล้ว  ยังไม่ได้รับการบรรจุในแผนปฏิบัติการประจำปี 2554)</t>
    </r>
  </si>
  <si>
    <t>อยู่ในระหว่างเตรียมดำเนินการในวันที่ 27 พฤษภาคม 2554</t>
  </si>
  <si>
    <t>ยังไม่ดำเนินการ อยู่ในระหว่างเตรียมดำเนินการ</t>
  </si>
  <si>
    <t>ดำเนินการแล้ว อยู่ในระหว่างสรุปและรายงานผล ใช้จ่ายเงินจำนวน 38,695 บาท</t>
  </si>
  <si>
    <t>ยังไม่ดำเนินการ  โดยเตรียมดำเนินการในวันที่ 9 มิถุนายน 2554</t>
  </si>
  <si>
    <t>(4.6)</t>
  </si>
  <si>
    <t>โครงการแสดงมุฑิตาจิตและสร้างความสัมพันธ์อันดีระหว่างบุคลากร (ไม่ได้รับการบรรจุในแผนปฏิบัติการ)</t>
  </si>
  <si>
    <t>อยู่ในระหว่างสรุปและรายงานผลการดำเนินงาน โดย ผศ.ดร.แสวง วัชระธนกิจใช้จ่ายไป จำนวน 40,136 บาท</t>
  </si>
  <si>
    <t>ชะลอการเปิดรับนักศึกษา</t>
  </si>
  <si>
    <t>ในปี 2554</t>
  </si>
  <si>
    <t>ยังไม่ดำเนินการ  อยู่ในระหว่างเตรียมดำเนินการ จะมีการจัดประชุมเพื่อทำข้อตกลงการปฏิบัติงานของบุคลากร</t>
  </si>
  <si>
    <t xml:space="preserve">อยู่ในระหว่างเตรียมดำเนินการ  </t>
  </si>
  <si>
    <t xml:space="preserve"> ยังไม่ดำเนินการ อยู่ในระหว่างเตรียมดำเนินการ</t>
  </si>
  <si>
    <t>อยู่ในระหว่างดำเนินการ  โดยเตรียมเบิกเงินงวดที่ 2</t>
  </si>
  <si>
    <t>ดำเนินการแล้ว อยู่ในระหว่างสรุปและรายงานผลการดำเนินงาน</t>
  </si>
  <si>
    <t>อยู่ในระหว่างดำเนินการ โดยงวดที่ 1 เบิกจ่ายเงินจำนวน 5,000 บาท มีการประกาศเกียรติคุณบุคลากรดีเด่นแล้ว อยู่ในระหว่างสรุปและรายงานผลการดำเนินงาน</t>
  </si>
  <si>
    <t>อยู่ในระหว่างดำเนินการ  ทั้งนี้ เบิกเงินงวดที่ 1 แล้วร้อยละ 50 จัดประชุมในไตรมาสที่ 1 จำนวน 4 ครั้ง และไตรมาสที่ 2 จำนวน 5 ครั้ง  (ประชุมกลุ่มวิชา ครั้งที่ 1-5/2554 เป็นจำนวน 5 ครั้ง)</t>
  </si>
  <si>
    <t>อยู่ในระหว่างดำเนินการ เบิกงวดที่ 1 จำนวน 500 บาท และงวดที่ 2 จำนวน 2,857 บาท ผู้เข้าร่วมประชุมเกินร้อยละ 50 ทุกครั้ง โดยไตรมาสที่ 1 ประชุม 1 ครั้ง และไตรมาสที่ 2 ประชุม 3 ครั้ง</t>
  </si>
  <si>
    <t>อยู่ในระหว่างดำเนินการ  ใช้เงินไตรมาสที่ 1 จำนวน 4,900 บาท และไตรมาส 2 จำนวน 4,900 บาท ประชุมแล้วจำนวน 6 ครั้ง</t>
  </si>
  <si>
    <t>อยู่ในระหว่างดำเนินการ โดยเบิกเงินงวดที่ 1 8100 บาท ใช้ไป 8075 บาทอยู่ในระหว่างส่งเบิกจ่ายและเตรียมเบิกงวดที่ 2 มีการจัดประชุมไปแล้วตั้งแต่เดือนตุลาคม -มีนาคม จำนวน 7 ครั้ง</t>
  </si>
  <si>
    <t xml:space="preserve"> อยู่ในระหว่งดำเนินการ โดยยืมเงิน 19,500 บาท โดยงานฝึกงานประชุมไปแล้ว 5 ครั้ง</t>
  </si>
  <si>
    <t xml:space="preserve"> กลุ่มวิชาเภสัชกรรมปฏิบัติดำเนินการแล้ว โดยยืมเงินทดรองจ่าย 26,000 บาท อยู่ในระหว่างส่งเอกสารเบิกจ่ายให้งานการเงินตรวจสอบ</t>
  </si>
  <si>
    <t>ยังไม่ส่งรายงานผล</t>
  </si>
  <si>
    <t xml:space="preserve"> ดำเนินการแล้ว อยู่ในระหว่างสรุปผลการดำเนินงาน</t>
  </si>
  <si>
    <t>ยังไม่ดำเนินการอยู่ในระหว่างเตรียมดำเนินการ</t>
  </si>
  <si>
    <t>อยู่ในระหว่างเตรียมดำเนินการ</t>
  </si>
  <si>
    <t>ยังไม่ส่งรายงานผล (ใช้จ่ายจำนวน 39,675 บาท)</t>
  </si>
  <si>
    <r>
      <t xml:space="preserve">ไม่ส่งรายงานผลการดำเนินงานในไตรมาสที่ 3 </t>
    </r>
    <r>
      <rPr>
        <sz val="14"/>
        <rFont val="Angsana New"/>
        <family val="1"/>
      </rPr>
      <t>(จัดประชุมไปแล้ว 1 ครั้ง)</t>
    </r>
  </si>
  <si>
    <t>อยู่ในระหว่างดำเนินการจัดซื้อหนังสือเข้าห้องสมุด</t>
  </si>
  <si>
    <t>ได้ดำเนินการไปแล้วจำนวน 1 ฉบับ อยู่ในระหว่างสรุปค่าใช้จ่าย</t>
  </si>
  <si>
    <t>โครงการจัดนิทรรศการทางเภสัชศาสตร์ในงานเกษตรอีสานใต้ (ยังไม่ได้บรรจุในแผน)</t>
  </si>
  <si>
    <t>(7.41)</t>
  </si>
  <si>
    <t>อยู่ในระหว่างการรายงานผลตามดัชนีวัดความสำเร็จ</t>
  </si>
  <si>
    <t>รองคณบดีฝ่ายวิจัยและวิเทศสัมพันธ์ จะส่งรายงานผลให้ภายหลัง</t>
  </si>
  <si>
    <t>เบิกเงินงวดที่ 1 ร้อยละ 50  จำนวน 139500 บาท ได้สกัดสารสำคัญจากสมุนไพรแล้วอยู่ในระหว่างการติดต่อขอซื้อมอฟีนซึ่งเป็นสารมาตรฐานสำหรับการทดสอบฤทธิ์ระงับปวด</t>
  </si>
  <si>
    <t>งบประมาณไม่พอเสนอขอปรับเพิ่มอีก 100,000 บาท รวมเป็นเงิน 200,000 บาท เพื่อให้เพียงพอรองรับการดำเนินงาน</t>
  </si>
  <si>
    <t>งบประมาณไม่พอเสนอขอปรับเพิ่มอีก 100,000 บาท รวมเป็นเงิน 180,000 บาท เพื่อให้เพียงพอรองรับการดำเนินงาน</t>
  </si>
  <si>
    <t>ปรับเปลี่ยนรูปแบบการจัดกิจกรรมให้อยู่ภายใต้กิจกรรม KM แทน</t>
  </si>
  <si>
    <t xml:space="preserve">อยู่ในระหว่างดำเนินการ โดยยืมเงินทดรองจ่ายแล้ว </t>
  </si>
  <si>
    <t>เบิกเงินงวดที่ 1 จำนวน 50,000 บาท อยู่ในระหว่างดำเนินการเตรียมเบิกงวดที่ 2</t>
  </si>
  <si>
    <t>อยู่ในระหว่างดำเนินการ งวดที่ 1 ใช้จ่ายไป 20,000 บาท และงวดที่ 2 จำนวน 45,000 บาท จะจัดโครงการในเดือนพฤษภาคม 2554</t>
  </si>
  <si>
    <t>อยู่ในระหว่างดำเนินการและขออนุมัติยืมเงินจาก สสส.</t>
  </si>
  <si>
    <t>ดำเนินการแล้วเมื่อวันที่ 29 เมษายน 2554  อยู่ในระหว่างสรุปผลการดำเนินงานและสรุปค่าใช้จ่าย</t>
  </si>
  <si>
    <t>อยู่ในระหว่างดำเนินการและขออนุมัติเบิกเงินงวดที่ 1 จำนวน 72,000 บาท</t>
  </si>
  <si>
    <t xml:space="preserve">อยู่ในระหว่างดำเนินการ เบิกค่าแผ่นพับไปแล้ว 11,000 บาท มีกำหนดจัดในวันที่ 20 พฤษภาคม 2554 </t>
  </si>
  <si>
    <t>อยู่ในระหว่างเตรียมดำเนินการ  โดยยืมเงินงวดที่ 1 จำนวน 407,500 บาท</t>
  </si>
  <si>
    <t>ดำเนินการแล้ว อยู่ในระหว่างสรุปผลการดำเนินการ</t>
  </si>
  <si>
    <t>ยังไม่ได้ดำเนินการ โดยมีแผนดำเนินการในเดือนมิถุนายน - สิงหาคม 2554</t>
  </si>
  <si>
    <t>อยู่ในระหว่างดำเนินการ ใช้จ่ายเงินในไตรมาสที่ 1 จำนวน 20,000 บาท และไตรมาสที่ 2 จำนวน 50,000 บาท  ได้จำนวนสมุนไพรแล้ว 100 ชนิด</t>
  </si>
  <si>
    <t>อยู่ในระหว่างดำเนินการได้ใช้จ่ายเงินงวดที่ 1 ในไตรมาสที่ 1 จำนวน 30,000 บาท และไตรมาสที่ 2 จำนวน 20,000บาท อยู่ในระหว่างจัดทำหนังสือ</t>
  </si>
  <si>
    <t>ดำเนินการแล้ว และเบิกจ่ายแล้วจำนวน 100,00 บาท อยู่ในระหว่างสรุปผลการดำเนินงาน</t>
  </si>
  <si>
    <t>ยังไม่ดำเนินการ คาดว่าจะดำเนินการในเดือนมิถุนายน 2554</t>
  </si>
  <si>
    <t xml:space="preserve">อยู่ในระหว่างดำเนินการ โดยได้เบิกจ่ายในไตรมาสที่ 1 จำนวน 50,252 บาท และไตรมาสที่ 2 จำนวน 47,052 บาท   </t>
  </si>
  <si>
    <t xml:space="preserve"> - โครงการพัฒนาศักยภาพอาจารย์และบุคลากร</t>
  </si>
  <si>
    <t>8 โครงการ</t>
  </si>
  <si>
    <t>6 โครงการ</t>
  </si>
  <si>
    <t>รอสรุปผลการดำเนินงาน</t>
  </si>
  <si>
    <t>รอสรุปผลการดำเนินงานตาม KPI และสรุปค่าใช้จ่าย</t>
  </si>
  <si>
    <t>ชะลอการดำเนินงาน</t>
  </si>
  <si>
    <t>อยู่ระหว่างดำเนินงาน</t>
  </si>
  <si>
    <t>ดำเนินการแล้ว รอสรุปผล</t>
  </si>
  <si>
    <t>เบิกจ่ายแล้ว จำนวน 20,000 บาท รอสรุปผล</t>
  </si>
  <si>
    <t xml:space="preserve">ชะลอการดำเนินงาน </t>
  </si>
  <si>
    <t>เนื่องจากมีอาจารย์สำเร็จการศึกษาและกลับมาปฏิบัติงานจำนวนน้อย  ทั้งนี้ ได้มีการแนะนำเป็นรายบุคคลแล้ว</t>
  </si>
  <si>
    <t xml:space="preserve">อยู่ในระหว่างการดำเนินงาน </t>
  </si>
  <si>
    <t>1. จำนวนวัสดุตำราทางวิชาการและโสตทัศนปกรณ์ที่เพิ่มขึ้น
2. สัดส่วนจำนวนตำราต่อจำนวนนักศึกษาเพิ่มขึ้น อยู่ในระหว่างสรุปค่าใช้จ่าย</t>
  </si>
  <si>
    <t>รอสรุปค่าใช้จ่ายจากงานการเงิน</t>
  </si>
  <si>
    <t>ตรวจสอบการเบิกจ่ายจากการงานเงิน เบิกจ่ายจำนวน 8 โครงการ จำนวน 195,000 บาท</t>
  </si>
  <si>
    <t>อยู่ในระหว่างจัดทำเอกสารเบิกจ่ายและรายงานผล</t>
  </si>
  <si>
    <t>ดำเนินการแล้ว รอสรุปผลการเบิกจ่าย</t>
  </si>
  <si>
    <r>
      <t xml:space="preserve">โครงการสารนิพนธ์ ทั้งหมดจำนวน 44 โครง  </t>
    </r>
    <r>
      <rPr>
        <sz val="12"/>
        <color rgb="FFFF0000"/>
        <rFont val="Angsana New"/>
        <family val="1"/>
      </rPr>
      <t>(ตรวจสอบการเบิกจ่ายว่าเบิกจ่ายหรือไม่/เบิกจ่ายจากแหล่งใด)</t>
    </r>
  </si>
  <si>
    <t>ยกเลิก เนื่องจากเบิกจ่ายภายใต้ค่าวัสดุคณะฯ</t>
  </si>
  <si>
    <t>ชะลอไปเบิกจ่ายปีถัดไป</t>
  </si>
  <si>
    <t>1)  การดำเนินการบางโครงการมีความล่าช้ากว่าแผนที่กำหนด  เนื่องจากมีการเปลี่ยนแปลงผู้บริหารที่รับผิดชอบโครงการ</t>
  </si>
  <si>
    <t>3)  การรายงานการเบิกจ่ายและรายงานผลการดำเนินงานหลังสิ้นสุดโครงการค่อนข้างล่าช้า</t>
  </si>
  <si>
    <t>2)  โครงการย่อยจำนวนมาก  เตรียมพิจารณาปรับรวมเป็นโครงการเดียวกัน</t>
  </si>
  <si>
    <t xml:space="preserve">2)  โครงการย่อยจำนวนมาก  ทำให้ต้องมีการดำเนินงานหลายครั้ง  </t>
  </si>
  <si>
    <t>4)  แนวทางการเบิกจ่ายค่าสาธารณูปโภคจากงานวิจัย  ไม่สามารถเบิกจ่ายได้</t>
  </si>
  <si>
    <t>2.1)  โครงการเตรียมความพร้อมเพื่อเพิ่มพูนทักษะฯ ปรับเพิ่มวงเงิน</t>
  </si>
  <si>
    <t>3)  แนวทางการเบิกจ่ายค่าสาธารณูปโภคจากงานวิจัยที่ไม่สามารถเบิกจ่ายได้  คณบดีนำหารือที่ประชุมคณะกรรมการบริหารมหาวิทยาลัยฯ</t>
  </si>
  <si>
    <t>14 โครงการ</t>
  </si>
  <si>
    <t>18 โครงการ</t>
  </si>
  <si>
    <t>รายงานผลการเบิกจ่ายไตรมาสที่ 1 (เดือน ต.ค.53 - ธ.ค.53)</t>
  </si>
  <si>
    <t>รายงานผลการเบิกจ่ายไตรมาสที่ 2 (เดือน ต.ค.53 - มี.ค. 54)</t>
  </si>
  <si>
    <t>รายงานผลการเบิกจ่ายไตรมาสที่ 3 (เดือน ต.ค.53. - มิ.ย. 54)</t>
  </si>
  <si>
    <t>รายงานผลการเบิกจ่ายไตรมาสที่ 4 (เดือน ต.ค.53 -ก.ย. 54)</t>
  </si>
  <si>
    <t>ดำเนินการเสร็จเรียบร้อยแล้ว</t>
  </si>
  <si>
    <t>1. ห้องประชุม สื่อและอุปกรณ์ไม่ดี                         2. เวลาน้อยเกินไป               3. อาหารไม่หลากหลายและไม่เพียงพอ</t>
  </si>
  <si>
    <t>สังคมไทย   2. เพื่อ</t>
  </si>
  <si>
    <t>เพิ่มกำลังการผลิต</t>
  </si>
  <si>
    <t>บัณฑิตเภสัชศาสตร์</t>
  </si>
  <si>
    <t>ตอบสนองความ</t>
  </si>
  <si>
    <t xml:space="preserve">เกณฑ์มาตรฐาน </t>
  </si>
  <si>
    <t>วิชาชีพ และมี</t>
  </si>
  <si>
    <t>งานทำสามารถ</t>
  </si>
  <si>
    <t>ตอบ สนองต่อ</t>
  </si>
  <si>
    <t xml:space="preserve">ของบัณฑิตที่ </t>
  </si>
  <si>
    <t>สำเร็จการศึกษา</t>
  </si>
  <si>
    <t>ต่อจำนวนที่</t>
  </si>
  <si>
    <t>รับเข้า  3.ร้อย</t>
  </si>
  <si>
    <t xml:space="preserve">ละของบัณฑิต </t>
  </si>
  <si>
    <t xml:space="preserve">ที่มีงานทำภายหลังจากสำเร็จการศึกษาใน 1 ปี </t>
  </si>
  <si>
    <t>ความต้องการ</t>
  </si>
  <si>
    <t>ของสังคมลดภาวะขาดแคลนเภสัชกร</t>
  </si>
  <si>
    <t>ต้องการ  ของภาค</t>
  </si>
  <si>
    <t>ตะวันออก เฉียงเหนือและของประเทศ</t>
  </si>
  <si>
    <t xml:space="preserve">1. ไม่น้อย กว่าร้อยละ   80    2.ไม่น้อย   กว่า ร้อยละ  80 </t>
  </si>
  <si>
    <t xml:space="preserve">  3.ไม่น้อย </t>
  </si>
  <si>
    <t xml:space="preserve">กว่าร้อยละ     </t>
  </si>
  <si>
    <t>เพื่อให้บุคลากร</t>
  </si>
  <si>
    <t>ทางการแพทย์ที่เข้า</t>
  </si>
  <si>
    <t xml:space="preserve">รับการ ศึกษาเพิ่ม  </t>
  </si>
  <si>
    <t>เติมด้านโฮมิโอ</t>
  </si>
  <si>
    <t>พาธีย์มีความรู้ และ</t>
  </si>
  <si>
    <t>สามารถนำไป</t>
  </si>
  <si>
    <t xml:space="preserve">ปฏิบัติได้จริง </t>
  </si>
  <si>
    <t>บุคลากรทาง</t>
  </si>
  <si>
    <t>การแพทย์ได้</t>
  </si>
  <si>
    <t>นำองค์ความรู้</t>
  </si>
  <si>
    <t>ด้านการแพทย์</t>
  </si>
  <si>
    <t>ทาง เลือกไป</t>
  </si>
  <si>
    <t>ใช้ให้เกิด</t>
  </si>
  <si>
    <t>ประโยชน์ใน</t>
  </si>
  <si>
    <t>ด้านงาน</t>
  </si>
  <si>
    <t>สาธารณสุข</t>
  </si>
  <si>
    <t>จำนวน</t>
  </si>
  <si>
    <t>บุคลากร</t>
  </si>
  <si>
    <t>การแพทย์ที่</t>
  </si>
  <si>
    <t>ผ่านการอบรม</t>
  </si>
  <si>
    <t xml:space="preserve">ไม่น้อยกว่า </t>
  </si>
  <si>
    <t>40 คนต่อปี</t>
  </si>
  <si>
    <t>จำนวนไม่</t>
  </si>
  <si>
    <t xml:space="preserve">น้อยกว่า 40 </t>
  </si>
  <si>
    <t xml:space="preserve"> เดือนตุลาคม </t>
  </si>
  <si>
    <t xml:space="preserve">2553 - </t>
  </si>
  <si>
    <t xml:space="preserve"> กันยายน </t>
  </si>
  <si>
    <t xml:space="preserve">1. ร้อยละนัก ศึกษาใหม่ที่ รับจริงต่อจำ นวนรับตามแผน              2. ร้อยละของบัณฑิตที่สำ  เร็จการศึกษาต่อจำนวนที่   รับเข้า            3.ร้อยละของ บัณฑิตที่มี   งานทำภาย  หลังจากสำเร็จ การศึกษาใน1 ปี </t>
  </si>
  <si>
    <t>1. ไม่น้อย   กว่าร้อยละ   80   2.ไม่น้อยกว่า ร้อยละ  80      3.ไม่น้อย กว่าร้อยละ     80</t>
  </si>
  <si>
    <t xml:space="preserve">1. ร้อยละของอาจารย์ ที่เข้าร่วมโครงการต่อจำนวนอาจารย์ทั้ง หมด  2.ร้อยละของ ตัวแทนนัก  ศึกษาที่เข้าร่วมจากตัวแทนของ นักศึกษาแต่ละชั้นปี  3.ร้อยละของนักศึกษา  ที่ลงทะ เบียนเรียนแต่ละราย วิชาตามแผนการศึกษา </t>
  </si>
  <si>
    <t>โครงการผลิตบัณฑิตระดับปริญญาตรี</t>
  </si>
  <si>
    <t xml:space="preserve"> - ค่าตอบแทนผู้ปฏิบัติงานให้ราชการ</t>
  </si>
  <si>
    <t xml:space="preserve"> - ค่าจ้างเหมาบริการ</t>
  </si>
  <si>
    <t xml:space="preserve"> - ค่าเช่าทรัพย์สิน</t>
  </si>
  <si>
    <t xml:space="preserve"> - ค่าใช้จ่ายในการเดินทางไปราชการ</t>
  </si>
  <si>
    <t xml:space="preserve"> - ค่าใช้จ่ายในการจัดโครงการ</t>
  </si>
  <si>
    <t xml:space="preserve"> - ค่าใช้สอยอื่น</t>
  </si>
  <si>
    <t xml:space="preserve"> - วัสดุการศึกษา</t>
  </si>
  <si>
    <t xml:space="preserve"> - ค่าตอบแทนวิทยากร </t>
  </si>
  <si>
    <t xml:space="preserve"> - ค่าอาหาร</t>
  </si>
  <si>
    <t xml:space="preserve"> - ค่าพาหนะ </t>
  </si>
  <si>
    <t>โครงการพัฒนาศักยภาพบุคลากร</t>
  </si>
  <si>
    <t xml:space="preserve"> - ค่าเบี้ยเลี้ยง  </t>
  </si>
  <si>
    <t xml:space="preserve"> - ค่าที่พัก พาหนะ </t>
  </si>
  <si>
    <t xml:space="preserve"> - ค่าลงทะเบียน</t>
  </si>
  <si>
    <t>โครงการฝึกปฏิบัติงานวิชาชีพ</t>
  </si>
  <si>
    <t xml:space="preserve"> - ค่าตอบแทนการฝึกปฏิบัติงานทั่วไป</t>
  </si>
  <si>
    <t xml:space="preserve"> - ค่าตอบแทนการฝึกปฏิบัติงานเฉพาะทาง</t>
  </si>
  <si>
    <t xml:space="preserve"> - ค่าใช้จ่ายในการเดินทางนิเทศงานการฝึกปฏิบัติงานทั่วไป</t>
  </si>
  <si>
    <t xml:space="preserve"> - ค่าใช้จ่ายในการเดินทางนิเทศงานการฝึกปฏิบัติงานเฉพาะทาง</t>
  </si>
  <si>
    <t>โครงการพัฒนาคุณภาพนักศึกษา</t>
  </si>
  <si>
    <t>4.1 ค่าตอบแทน ใช้สอยและวัสดุ</t>
  </si>
  <si>
    <t>(1) โครงการย่อย : ปฐมนิเทศและเตรียมความพร้อมสำหรับนักศึกษาใหม่</t>
  </si>
  <si>
    <t>(2) โครงการสัปดาห์เภสัชกรรม</t>
  </si>
  <si>
    <t>(3) โครงการแสดงความยินดีกับบัณฑิตและมหาบัณฑิต คณะเภสัชศาสตร์</t>
  </si>
  <si>
    <t>(4) โครงการไหว้ครู</t>
  </si>
  <si>
    <t>(5) โครงการพัฒนาแกนนำนักศึกษา</t>
  </si>
  <si>
    <t>(6) โครงการส่งเสริมความสัมพันธ์ระหว่างนักศึกษากับอาจารย์ที่ปรึกษา</t>
  </si>
  <si>
    <t>6.2 ค่าตอบแทน ใช้สอยและวัสดุ</t>
  </si>
  <si>
    <t xml:space="preserve"> - ค่าทำการอาหารนอกเวลา</t>
  </si>
  <si>
    <t xml:space="preserve"> - ค่าใช้จ่ายเดินทางไปราชการ</t>
  </si>
  <si>
    <t xml:space="preserve"> - ค่าใช้จ่ายสัมมนาและฝึกอบรม</t>
  </si>
  <si>
    <t xml:space="preserve"> - วัสดุเชื้อเพลิงและหล่อลื่น</t>
  </si>
  <si>
    <t>(โครงการเตรียมความพร้อมเปิดรับนักศึกษาหลักสูตรประกาศนียบัตรบัณฑิต )</t>
  </si>
  <si>
    <t>โครงการกองทุนส่งเสริมและพัฒนาการผลิตบัณฑิตคณะเภสัชศาสตร์</t>
  </si>
  <si>
    <t xml:space="preserve"> - ค่าจ้างเหมาบริการต่างๆ</t>
  </si>
  <si>
    <t xml:space="preserve"> - ค่าวัสดุวิทยาศาสตร์</t>
  </si>
  <si>
    <t xml:space="preserve"> - ค่าวัสดุสำนักงานและอื่นๆ</t>
  </si>
  <si>
    <t xml:space="preserve">(1) โครงการย่อย : การพัฒนาศักยภาพการทำงานของบุคลากรสายสนับสนุน </t>
  </si>
  <si>
    <t>(2) โครงการย่อย : การปฐมนิเทศและเสริมความรู้ ทักษะการปฏิบัติงานแก่อาจารย์และบุคลากรใหม่</t>
  </si>
  <si>
    <t>(3) โครงการย่อย : การพัฒนาระบบบริหารทรัพยากรบุคคล</t>
  </si>
  <si>
    <t>(4) โครงการย่อย : การพัฒนาระบบการบริหารความเสี่ยงและการควบคุมภายใน</t>
  </si>
  <si>
    <t>(5) โครงการย่อย : การพัฒนาระบบประเมินการบริหาร</t>
  </si>
  <si>
    <t>(6) โครงการย่อย : การพัฒนาระบบ 5 ส.</t>
  </si>
  <si>
    <t>(7) โครงการย่อย : การเพิ่มค่าตอบแทนในการปฏิบัติงานของบุคลากรตามผลงานและเกณฑ์ภาระงาน</t>
  </si>
  <si>
    <t>(8) โครงการย่อย : การเสริมสร้างความสัมพันธ์อันดีระหว่างบุคลากรคณะเภสัชศาสตร์</t>
  </si>
  <si>
    <t>(9) โครงการย่อย : การพัฒนาบุคลากรมุ่งมั่นสู่ความสำเร็จ</t>
  </si>
  <si>
    <t>(10) โครงการย่อย : การพัฒนาผู้บริหารคณะเภสัชศาสตร์</t>
  </si>
  <si>
    <t>(11) โครงการย่อย : การประกาศเกียรติคุณสำหรับบุคลากรผู้มีผลงานดีเด่น</t>
  </si>
  <si>
    <t>(12) โครงการย่อย : เวทีการมีส่วนร่วมของคณาจารย์และบุคลากรคณะเภสัชศาสตร์</t>
  </si>
  <si>
    <t>(13) โครงการย่อย : การรับรองแขกคณะเภสัชศาสตร์</t>
  </si>
  <si>
    <t>(14) โครงการย่อย : การส่งเสริมการสร้างทีมงานของบุคลากรคณะเภสัชศาสตร์</t>
  </si>
  <si>
    <t>(15) โครงการย่อย : การพัฒนาและเสริมสร้างศักยภาพการทำงานของบุคลากรสำนักงาน</t>
  </si>
  <si>
    <t>(16) โครงการย่อย : การพัฒนาระบบติดตามและประเมินผลการดำเนินงานตามแผน</t>
  </si>
  <si>
    <t>(17) โครงการย่อย : การจัดทำแผนกลยุทธ์การบริหารทรัพยากรการเงินคณะเภสัชศาสตร์</t>
  </si>
  <si>
    <t>(18) โครงการย่อย : การเผยแพร่ผลงานทางวิชาการทางเภสัชศาสตร์  (เงินอุดหนุนการเดินทาง  เงินรางวัลการตีพิมพ์/เผยแพร่)</t>
  </si>
  <si>
    <t>(19) โครงการย่อย : การสนับสนุนการเผยแพร่ผลงานวิจัยทางวารสารเภสัชศาสตร์อีสาน</t>
  </si>
  <si>
    <t xml:space="preserve">(20) โครงการย่อย : การพัฒนางานวิจัย บริการวิชาการและทำนุบำรุงศิลปวัฒนธรรม  </t>
  </si>
  <si>
    <t>(21) โครงการย่อย : การสนับสนุนทุนวิจัยเพื่อพัฒนาการเรียนการสอนและพัฒนางาน</t>
  </si>
  <si>
    <t>(22) โครงการย่อย : การทำบุญวันสถาปนาคณะเภสัชศาสตร์</t>
  </si>
  <si>
    <t>(23) โครงการย่อย : การพัฒนาและเสริมสร้างศักยภาพการทำงานของบุคลากรงานกิจการนักศึกษาและฝึกปฏิบัติงานวิชาชีพ</t>
  </si>
  <si>
    <t>(24) โครงการย่อย : การจัดทำสารเภสัชศาสตร์</t>
  </si>
  <si>
    <t>(25) โครงการย่อย : การประชาสัมพันธ์เชิงรุก</t>
  </si>
  <si>
    <t>(26) โครงการย่อย : การจัดการความรู้</t>
  </si>
  <si>
    <t>(27) โครงการย่อย : การพัฒนาและเสริมสร้างคุณภาพการสอนสำหรับอาจารย์กลุ่มวิชาชีวเภสัชศาสตร์</t>
  </si>
  <si>
    <t xml:space="preserve">(28) โครงการย่อย : การพัฒนาและเสริมสร้างคุณภาพการสอนสำหรับอาจารย์กลุ่มวิชาเภสัชเคมีและเทคโนโลยีเภสัชกรรม </t>
  </si>
  <si>
    <t>(29) โครงการย่อย : การพัฒนาและเสริมสร้างคุณภาพการสอนสำหรับอาจารย์กลุ่มวิชาเภสัชกรรมปฏิบัติ</t>
  </si>
  <si>
    <t>(30) โครงการย่อย : การพัฒนาและเสริมสร้างศักยภาพการทำงานของบุคลากรงานปฏิบัติการ</t>
  </si>
  <si>
    <t>(1) โครงการย่อย : การตอบแทนการปฏิบัติงานวิชาชีพประจำแหล่งฝึกปฏิบัติงาน</t>
  </si>
  <si>
    <t>(2) โครงการย่อย : การประชุมวิชาการเพื่อพัฒนาแหล่งฝึกปฏิบัติงานวิชาชีพสำหรับงานบริการเภสัชกรรมปฐมภูมิ</t>
  </si>
  <si>
    <t>(1) โครงการย่อย : การซ่อมแซมและปรับปรุงอาคารของคณะเภสัชศาสตร์</t>
  </si>
  <si>
    <t>(2) โครงการย่อย : การพัฒนาระบบรักษาความปลอดภัย</t>
  </si>
  <si>
    <t>(3) โครงการย่อย : การสมทบการชำระค่าสาธารณูปโภค</t>
  </si>
  <si>
    <t>(4) โครงการย่อย : การสนับสนุนการเผยแพร่ผลงานทางวิชาการทางเภสัชศาสตร์ในที่ประชุม 5th Annual Conference ประจำปีการศึกษา 2555 (งานวิจัย)</t>
  </si>
  <si>
    <t>(5) โครงการย่อย : การพัฒนาห้องเอกสารอ้างอิงทางเภสัชศาสตร์</t>
  </si>
  <si>
    <t>(6) โครงการย่อย : การพัฒนาหลักสูตรระดับปริญญาตรี บัณฑิตศึกษา  และหลักสูตรอบรมระยะสั้น</t>
  </si>
  <si>
    <t>(7) โครงการย่อย : การอบรมภาษาอังกฤษสำหรับอาจารย์ บุคลากร และนักศึกษา</t>
  </si>
  <si>
    <t>(8) โครงการย่อย : การเชิญอาจารย์และผู้เชี่ยวชาญชาวต่างประเทศมาสอนและบรรยายพิเศษ (120,000บาท)</t>
  </si>
  <si>
    <t>(9) โครงการย่อย : การจัดการเรียนการสอนนักศึกษาระดับปริญญาตรีด้วยภาษาต่างประเทศ (ใช้งบประมาณภายใต้โครงการค่าตอบแทนบุคลากรฯ)</t>
  </si>
  <si>
    <t>(10) โครงการย่อย : การพัฒนาผู้ป่วยจำลองเพื่อใช้ในการเรียนการสอน</t>
  </si>
  <si>
    <t>(11) โครงการย่อย : การเตรียมรับนักศึกษาโครงการพิเศษเพื่อผลิตเภสัชกร</t>
  </si>
  <si>
    <t xml:space="preserve">(12) โครงการย่อย : การต่อเติมและปรับปรุงสถานปฏิบัติการเภสัชกรรมชุมชน สาขา หน้ามหาวิทยาลัยอุบลราชธานี </t>
  </si>
  <si>
    <t>(13) โครงการย่อย : การกำจัดของเสียอันตรายที่เกิดจากการทำปฏิบัติการเรียนการสอน และการวิจัย</t>
  </si>
  <si>
    <t>(14) โครงการย่อย : การสมทบเพื่อการพัฒนาหน่วยผลิต วิเคราะห์ยาและผลิตภัณฑ์สมุนไพร</t>
  </si>
  <si>
    <t>(15) โครงการย่อย : การจัดซื้อครุภัณฑ์ประจำห้องปฏิบัติการรายการจำเป็นเร่งด่วน</t>
  </si>
  <si>
    <t>(15) โครงการย่อย : การอุดหนุนทุนพัฒนาบุคลากร</t>
  </si>
  <si>
    <t>โครงการวิจัย :  สารที่มีฤทธิ์ยับยั้งเอนไซม์อะเซทิลโคลีนเอสเทอเรสและต้านอนุมูลอิสระจากช้าพลู (การวิจัยสร้างองค์ความรู้)</t>
  </si>
  <si>
    <t>โครงการวิจัย :  การศึกษาผลของน้ำนมราชสีห์เล็กต่อการป้องกันเซลล์ตับเพาะเลี้ยงจากภาวะ oxidative stress (การวิจัยสร้างองค์ความรู้)</t>
  </si>
  <si>
    <t>โครงการวิจัย : การศึกษาฤทธิ์ระงับปวดของสารสกัดหอมแดง (การวิจัยสร้างองค์ความรู้)</t>
  </si>
  <si>
    <t>โครงการวิจัย : การผลิตสารต้านทานแบบโนโนโคลนอลแอนติบอดีต่อเอเชียติโคไซต์เพื่อการควบคุมคุณภาพบัวบก (การวิจัยถ่ายทอดเทคโนโลยี)</t>
  </si>
  <si>
    <t>โครงการชีวเภสัชศาสตร์สัญจร:การสร้างเสริมสุขภาพในโรงเรียนเครือข่าย ม.ทราย และเสริมสร้างทักษะการสร้างเสริมสุขภาพแก่อาสาสมัครสาธารณสุขประจำหมู่บ้าน (อสม.)</t>
  </si>
  <si>
    <t xml:space="preserve">โครงการหมอยาเคลื่อนที่ ครั้งที่ 2 (การให้บริบาลทางเภสัชกรรมที่โรงพยาบาล)  </t>
  </si>
  <si>
    <t>โครงการเผยแพร่ความรู้ด้านยาและสุขภาพแก่ประชาชน</t>
  </si>
  <si>
    <t>โครงการการประชุมวิชาการเภสัชสนเทศกับความปลอดภัยผู้ป่วย</t>
  </si>
  <si>
    <t>โครงการแนวทางการควบคุมมาตรฐานการผลิตและประเมินประสิทธิภาพเครื่องสำอางที่มีส่วนผสมของสารสกัดธรรมชาติ</t>
  </si>
  <si>
    <t>โครงการจัดทำมาตรฐานตำรับยาสมุนไพร UBU Specification Series 2 : ตำรับยาเหลืองปิดสมุทร</t>
  </si>
  <si>
    <t>โครงการจัดทำฐานข้อมูลสมุนไพรไทยเขตอีสานใต้ (2)</t>
  </si>
  <si>
    <t>โครงการฐานข้อมูลภาษาอีสานที่ใช้สื่อสารด้านสุขภาพ</t>
  </si>
  <si>
    <t>โครงการพ่อแม่อาสาสร้างสรรค์สร้างสุข</t>
  </si>
  <si>
    <t>ขอรับการสนับสนุนงบประมาณจากมหาวิทยาลัย (อัตราProfessor J. Edward Moreton)</t>
  </si>
  <si>
    <t xml:space="preserve"> - ค่าประกันสังคมพนักงาน/ลูกจ้างชั่วคราว</t>
  </si>
  <si>
    <t>(1) โครงการย่อย : การเตรียมความพร้อมเพื่อเพิ่มพูนทักษะความรู้ความสามารถทางวิชาการตามเกณฑ์มาตรฐานวิชาชีพทางเภสัชศาสตร์</t>
  </si>
  <si>
    <t>(2) โครงการย่อย : การปรับปรุงหลักสูตรเภสัชศาสตรบัณฑิตและหลักสูตรบัณฑิตศึกษาเพื่อให้เป็นไปตามมาตรฐานคุณวุฒิอุดมศึกษา</t>
  </si>
  <si>
    <t xml:space="preserve">(3) โครงการย่อย : การพัฒนาระบบประกันคุณภาพการศึกษาคณะเภสัชศาสตร์  </t>
  </si>
  <si>
    <t>(4) โครงการย่อย : การซ่อมแซมครุภัณฑ์วิทยาศาสตร์</t>
  </si>
  <si>
    <t>(5) โครงการย่อย : การศึกษาพันธุ์ไม้นอกสถานที่รายวิชาปฏิบัติการเภสัชพฤกษศาสตร์ และเภสัชเวท</t>
  </si>
  <si>
    <t>(6) โครงการย่อย : การอบรมห้องปฏิบัติการปลอดภัยสำหรับนักศึกษาสารนิพนธ์</t>
  </si>
  <si>
    <t xml:space="preserve"> - ค่าจ้างพนักงานมหาวิทยาลัย</t>
  </si>
  <si>
    <t>3.1 ค่าใช้สอย</t>
  </si>
  <si>
    <t>4.1.1 ค่าตอบแทน</t>
  </si>
  <si>
    <t>4.1.2 ค่าใช้สอย</t>
  </si>
  <si>
    <t>4.1.3 เงินอุดหนุนโครงการย่อย : โครงการเตรียมความพร้อมของนักศึกษาด้านการฝึกปฏิบัติงานวิชาชีพ</t>
  </si>
  <si>
    <t>5.1 ค่าตอบแทน ใช้สอยและวัสดุ</t>
  </si>
  <si>
    <t>5.1.1 ค่าใช้สอย</t>
  </si>
  <si>
    <t xml:space="preserve">5.1.2 เงินอุดหนุนโครงการย่อย : </t>
  </si>
  <si>
    <t>6.1 หมวดเงินเดือน (พนักงานมหาวิทยาลัย)</t>
  </si>
  <si>
    <t>6.2.1 ค่าใช้สอย (ค่าประกันสังคมพนักงานมหาวิทยาลัย)</t>
  </si>
  <si>
    <t>6.2.2 ค่าวัสดุ</t>
  </si>
  <si>
    <t>6.3 เงินอุดหนุน</t>
  </si>
  <si>
    <t>6.3.1 ค่าจ้างพนักงานมหาวิทยาลัย</t>
  </si>
  <si>
    <t>7.1 หมวดค่าจ้างชั่วคราว</t>
  </si>
  <si>
    <t>7.2 ค่าตอบแทน ใช้สอยและวัสดุ</t>
  </si>
  <si>
    <t>7.2.1 ค่าตอบแทน</t>
  </si>
  <si>
    <t>7.2.2 ค่าใช้สอย</t>
  </si>
  <si>
    <t xml:space="preserve"> - เงินประกันสังคมลูกจ้างชั่วคราว</t>
  </si>
  <si>
    <t>7.2.3 ค่าวัสดุ</t>
  </si>
  <si>
    <t>7.2.4 หมวดครุภัณฑ์/สิ่งก่อสร้าง</t>
  </si>
  <si>
    <t>7.2.5 หมวดค่าสาธารณูปโภค</t>
  </si>
  <si>
    <t xml:space="preserve">7.2.6 หมวดเงินอุดหนุนทั่วไป </t>
  </si>
  <si>
    <t>7.2.7 รายจ่ายอื่น</t>
  </si>
  <si>
    <t>8.1 โครงการเงินกองทุนส่งเสริมและพัฒนาการผลิตบัณฑิต</t>
  </si>
  <si>
    <t xml:space="preserve">8.1.1 หมวดเงินเดือน </t>
  </si>
  <si>
    <t>8.1.2 หมวดค่าจ้างชั่วคราว</t>
  </si>
  <si>
    <t>8.1.3 หมวดค่าตอบแทน ใช้สอยและวัสดุ</t>
  </si>
  <si>
    <t xml:space="preserve"> - เงินประกันสังคมลูกจ้างชั่วคราวและพนักงานมหาวิทยาลัย</t>
  </si>
  <si>
    <t>8.1.4 หมวดครุภัณฑ์และสิ่งก่อสร้าง</t>
  </si>
  <si>
    <t>8.1.5 หมวดเงินอุดหนุนทั่วไป</t>
  </si>
  <si>
    <t xml:space="preserve"> - เงินอุดหนุน - ค่าจ้างพนักงานมหาวิทยาลัย</t>
  </si>
  <si>
    <t xml:space="preserve"> - เงินอุดหนุน - โครงการ/กิจกรรมอื่นๆ</t>
  </si>
  <si>
    <t>8.2 โครงการกองทุนเพื่อเพิ่มประสิทธิภาพการบริหารจัดการ</t>
  </si>
  <si>
    <t>8.3 โครงการกองทุนเพื่อเพิ่มประสิทธิภาพการเรียนการสอน</t>
  </si>
  <si>
    <r>
      <t xml:space="preserve">โครงการกองทุนเพื่อการภารกิจจำเป็นและภารกิจเร่งด่วนเพื่อการพัฒนาคณะเภสัชศาสตร์ </t>
    </r>
    <r>
      <rPr>
        <b/>
        <sz val="18"/>
        <rFont val="TH SarabunPSK"/>
        <family val="2"/>
      </rPr>
      <t>(รอขออนุมัติงบเพิ่มเติมจากเงินเหลือจ่ายประจำปี 2554)</t>
    </r>
  </si>
  <si>
    <t>(1) เงินงบประมาณแผ่นดิน</t>
  </si>
  <si>
    <t xml:space="preserve"> - งบสนับสนุนกิจกรรมย่อย</t>
  </si>
  <si>
    <t>(2) เงินรายได้</t>
  </si>
  <si>
    <t>(2.1) หมวดค่าจ้างชั่วคราว</t>
  </si>
  <si>
    <t>(2.2) ค่าตอบแทนใช้สอยและวัสดุ</t>
  </si>
  <si>
    <t>(2.2.1) ค่าตอบแทน</t>
  </si>
  <si>
    <t>(2.2.2) ค่าใช้สอย</t>
  </si>
  <si>
    <t>(2.2.3) ค่าวัสดุ</t>
  </si>
  <si>
    <t>(2.4) ค่าสาธารณูปโภค</t>
  </si>
  <si>
    <t xml:space="preserve">(2.5) เงินอุดหนุน </t>
  </si>
  <si>
    <t>(1.1) หมวดเงินเดือน</t>
  </si>
  <si>
    <t>(1.2) หมวดค่าจ้างประจำ</t>
  </si>
  <si>
    <t>(1.3) หมวดค่าจ้างชั่วคราว</t>
  </si>
  <si>
    <t>(1.4) ค่าตอบแทนใช้สอยและวัสดุ</t>
  </si>
  <si>
    <t>(1.4.1) ค่าตอบแทน</t>
  </si>
  <si>
    <t>(1.4.2) ค่าใช้สอย</t>
  </si>
  <si>
    <t>(1.4.3) ค่าวัสดุ</t>
  </si>
  <si>
    <t>(1.5) ค่าสาธารณูปโภค</t>
  </si>
  <si>
    <t>หน่วยงานที่รับผิดชอบดำเนินงาน</t>
  </si>
  <si>
    <t>สำนักงาน</t>
  </si>
  <si>
    <t>เลขานุการ/</t>
  </si>
  <si>
    <t xml:space="preserve">งานวิชาการ </t>
  </si>
  <si>
    <t>(งบกลาง)</t>
  </si>
  <si>
    <t>โครงการตามแผนปฏิบัติการประจำปีงบประมาณ พ.ศ. 2555 ภายใต้กรอบวงเงินงบประมาณแผ่นดินประจำปี 2554 ไปพลางก่อน และเงินรายได้คณะเภสัชศาสตร์ ประจำปี 2555</t>
  </si>
  <si>
    <t>งานฝึกปฏิบัติ</t>
  </si>
  <si>
    <t>งานวิชาชีพ</t>
  </si>
  <si>
    <t>โครงการพัฒนาศักยภาพอาจารย์ด้าน</t>
  </si>
  <si>
    <t>การเรียนการสอน</t>
  </si>
  <si>
    <t>020500000003</t>
  </si>
  <si>
    <r>
      <rPr>
        <b/>
        <sz val="18"/>
        <rFont val="TH SarabunPSK"/>
        <family val="2"/>
      </rPr>
      <t xml:space="preserve">ก. </t>
    </r>
    <r>
      <rPr>
        <b/>
        <u/>
        <sz val="18"/>
        <rFont val="TH SarabunPSK"/>
        <family val="2"/>
      </rPr>
      <t>เงินงบประมาณแผ่นดิน</t>
    </r>
  </si>
  <si>
    <r>
      <rPr>
        <b/>
        <sz val="18"/>
        <rFont val="TH SarabunPSK"/>
        <family val="2"/>
      </rPr>
      <t xml:space="preserve">ข. </t>
    </r>
    <r>
      <rPr>
        <b/>
        <u/>
        <sz val="18"/>
        <rFont val="TH SarabunPSK"/>
        <family val="2"/>
      </rPr>
      <t>เงินรายได้</t>
    </r>
  </si>
  <si>
    <t>รายงานผลการเบิกจ่ายไตรมาสที่ 1 (เดือน ต.ค.   -ธ.ค.54)</t>
  </si>
  <si>
    <t>รายงานผลการเบิกจ่ายไตรมาสที่ 2 (เดือน ต.ค.54-มี.ค. 55)</t>
  </si>
  <si>
    <t>รายงานผลการเบิกจ่ายไตรมาสที่ 3 (เดือน ต.ค.54.-มิ.ย. 55)</t>
  </si>
  <si>
    <t>รายงานผลการเบิกจ่ายไตรมาสที่ 4 (เดือน ต.ค.54-ก.ย. 55)</t>
  </si>
  <si>
    <t>010100520006</t>
  </si>
  <si>
    <t xml:space="preserve"> - ค่าจ้างเหมาทำเอกสาร/จัดทำสื่อ</t>
  </si>
  <si>
    <t>โสตทัศนูปกรณ์/สถานที่</t>
  </si>
  <si>
    <t>01000011006</t>
  </si>
  <si>
    <t>040100010016</t>
  </si>
  <si>
    <t>040100010034</t>
  </si>
  <si>
    <t>020200000002</t>
  </si>
  <si>
    <t>งานกิจการ</t>
  </si>
  <si>
    <t>นักศึกษา</t>
  </si>
  <si>
    <t>งานวิชาการ/</t>
  </si>
  <si>
    <t>งานวิชาการ/บัณฑิตศึกษา</t>
  </si>
  <si>
    <t>บัณฑิตศึกษา</t>
  </si>
  <si>
    <t>งานฝึกปฏิบัติงานวิชาชีพ</t>
  </si>
  <si>
    <t>8.4 โครงการกองทุนเพื่อภารกิจจำเป็นและภารกิจเร่งด่วนเพื่อรองรับนโยบายการพัฒนาคณะเภสัชศาสตร์ (เตรียมเสนอปรับแผนเพิ่ม-เพื่อขอใช้เงินเหลือจ่ายประจำปี 2554)</t>
  </si>
  <si>
    <t>งานวิจัย</t>
  </si>
  <si>
    <t>งานนโยบายและแผน</t>
  </si>
  <si>
    <t>งบแผ่นดิน</t>
  </si>
  <si>
    <t>020500000004</t>
  </si>
  <si>
    <t>020500000001</t>
  </si>
  <si>
    <t>050100020021</t>
  </si>
  <si>
    <t>050100020019</t>
  </si>
  <si>
    <t>050100020020</t>
  </si>
  <si>
    <t>050100030016</t>
  </si>
  <si>
    <t>070100020026</t>
  </si>
  <si>
    <t>070100020067</t>
  </si>
  <si>
    <t>070100020028</t>
  </si>
  <si>
    <t>070100020033</t>
  </si>
  <si>
    <t>060100050004</t>
  </si>
  <si>
    <t>060100050005</t>
  </si>
  <si>
    <t>060100050006</t>
  </si>
  <si>
    <t>060100050007</t>
  </si>
  <si>
    <t>060100040002</t>
  </si>
  <si>
    <t>060100030001</t>
  </si>
  <si>
    <t>1. เพื่อให้การดำเนินงานประกันคุณภาพการศึกษาสาขาเภสัชศาสตร์ ดำเนินไปด้วยความต่อเนื่อง  อย่างมีคุณภาพ
2. เพื่อพัฒนาผู้บริหาร อาจารย์ และบุคลาก ให้มีความรู้ความเข้าใจ และสามารถบูรณาการระบบประกันคุณภาพเข้าสู่งานประจำ 
3. เพื่อพัฒนาระบบและกลไกการประกันคุณภาพ โดยการกระจายตัวชี้วัดสู่ระดับบุคคล
4. เพื่อกำหนดแผนงานการดำเนินการประกันคุณภาพปีการศึกษา 2554 
5. เพื่อพัฒนาและเสริมสร้างความร่วมมือในการดำเนินงานประกันคุณภาพ 
6. เพื่อเตรียมรับการตรวจประเมินภายในประจำปี  และการตรวจประเมินภายนอกโดย สมศ.</t>
  </si>
  <si>
    <t>เกิดการพัฒนาคุณภาพการศึกษาของคณะเภสัชศาสตร์อย่างต่อเนื่อง และมีระบบการผลิตบัณฑิตที่ได้มาตรฐานเป็นที่ยอมรับจากหน่วยงานภายนอก</t>
  </si>
  <si>
    <t xml:space="preserve">1. มีแผนงานการดำเนินการประกันคุณภาพ 
2. มีโครงร่างองค์กร ผลการประเมินตามหมวด แผนกลยุทธ์เพื่อพัฒนาคณะ  ตามเกณฑ์ EdPEx 
3. มีแฟ้มสะสมงานครบตามองค์ประกอบและดัชนีบ่งชี้คุณภาพของการประกันคุณภาพการศึกษา
4. มีการรายงานผลรายงานการประเมินตนเอง
5. มีการตรวจประเมินคุณภาพภายในอย่างน้อยปีละ 1 ครั้ง
</t>
  </si>
  <si>
    <t xml:space="preserve"> 1. มัแผนงานการดำเนินการประกันคุณภาพ
2. มีรายงานผลการดำเนินงานตามเกณฑ์ EdPEx
3. มีแฟ้มสะสมงานครบตามองค์ประกอบคุณภาพ
4. มีรายงานการประเมินตนเอง
5. มีรายงานผลการประเมินคุณภาพภายใน</t>
  </si>
  <si>
    <t>ฉบับ/เล่ม/แฟ้ม</t>
  </si>
  <si>
    <t>ต.ค.54-ก.ย.54</t>
  </si>
  <si>
    <r>
      <t>1.</t>
    </r>
    <r>
      <rPr>
        <sz val="13"/>
        <color theme="1"/>
        <rFont val="Times New Roman"/>
        <family val="1"/>
      </rPr>
      <t> </t>
    </r>
    <r>
      <rPr>
        <sz val="13"/>
        <color theme="1"/>
        <rFont val="TH SarabunPSK"/>
        <family val="2"/>
      </rPr>
      <t>ควรเพิ่มการนำการจัดการความรู้มาช่วยพัฒนาระบบให้ดีมากขึ้น
2.  ควรจัดเตรียมเอกสารหลักฐานให้ตรงตามผลการดำเนินงานตามเกณฑ์และช่วงระยะเวลาที่กำหนดในแต่ละตัวบ่งชี้</t>
    </r>
  </si>
  <si>
    <t>1. เพื่อประชาสัมพันธ์ข่าวสาร และกิจกรรมต่างๆ ในคณะฯ
2. เพื่อเผยแพร่ความรู้ เทคโนโลยีใหม่ๆ และผลงานของคณะฯ ให้นักศึกษา บุคลากร และบุคคลทั่วไปได้รับทราบ</t>
  </si>
  <si>
    <t>หน่วยงานภายนอกอื่นๆ และบุคคลภายนอกได้รู้จักคณะฯ ยิ่งขึ้น</t>
  </si>
  <si>
    <t>มีสารเภสัชศาสตร์ คณะเภสัชศาสตร์ เผยแพร่ไปยังหน่วยงานต่างๆ จำนวน 3 ฉบับ</t>
  </si>
  <si>
    <t>3 ฉบับต่อปี</t>
  </si>
  <si>
    <t>ควรปรับปรุงระบบการสื่อสารและการประชาสัมพันธ์ข้อมูล ข่าวสารของคณะ เพื่อบริการแก่ศิษย์เก่า</t>
  </si>
  <si>
    <t>ยกเลิกการดำเนินงานในปี 2555</t>
  </si>
  <si>
    <t>_</t>
  </si>
  <si>
    <t>เพื่อดำเนินการ บริหารจัดการให้เกิดการแลกเปลี่ยนองค์ความรู้ภายในองค์ก</t>
  </si>
  <si>
    <t>มีการแลกเปลี่ยนและเผยแพร่องค์ความรู้ที่เป็นประโยชน์ในการดำเนินงาน</t>
  </si>
  <si>
    <t>มีการดำเนินงานตามเกณฑ์ประกันคุณภาพ (ตัวบ่งชี้ที่ 7.2 การพัฒนาสถาบันสู่สถาบันเรียนรู้) ครบทุกข้อ</t>
  </si>
  <si>
    <t>ข้อ</t>
  </si>
  <si>
    <t>ควรนำกระบวนการจัดการความรู้มาช่วยในการบริหารจัดการให้ดียิ่งขึ้น</t>
  </si>
  <si>
    <t>เพื่อผลิตบัณฑิตที่มีคุณภาพตามเกณฑ์มาตรฐานวิชาชีพและเป็นบัณฑิตที่พึงประสงค์ของสังคมไทย</t>
  </si>
  <si>
    <t>บัณฑิตที่ได้มาตรฐานวิชาชีพ</t>
  </si>
  <si>
    <t>จำนวนนักศึกษาที่ได้รับและผ่านรายวิชาการฝึกปฏิบัติงานวิชาชีพทั่วไปและการฝึกปฏิบัติงานวิชาชีพเฉพาะทาง</t>
  </si>
  <si>
    <t>เดือน ตุลาคม 2554-กันยายน 2555</t>
  </si>
  <si>
    <t xml:space="preserve">ยุทธศาสตร์ที่ 2 (2.1)กลยุทธที่ 1 ( มหาวิทยาลัยอุบลราชธานี)  ยุทธศาสตร์ที่ 1 (คณะเภสัชศาสตร์) </t>
  </si>
  <si>
    <t>หน่วยงานรับผิดชอบ</t>
  </si>
  <si>
    <t>4.2 เงินอุดหนุนโครงการย่อย : โครงการเตรียมความพร้อมของนักศึกษาด้านการฝึกปฏิบัติงานวิชาชีพ (จากหัวข้อ 4.1.3)</t>
  </si>
  <si>
    <t>งานกิจการนศ.</t>
  </si>
  <si>
    <t>4.2.1 โครงการกล่าวคำสัตย์ปฏิญาณและปัจฉิมนิเทศเพื่อเตรียมความพร้อมสำหรับนักศึกษาเภสัชศาสตร์</t>
  </si>
  <si>
    <t>1. นักศึกษามีประสบ การณ์เชิงสังคม และมีความมั่นใจในการก้าวเข้าสู่ชีวิตการทำงาน
2. นักศึกษาได้พัฒนาบุคลิกภาพ ให้เหมาะ สมกับ หน้าที่การทำงาน</t>
  </si>
  <si>
    <t xml:space="preserve">กลยุทธที่ 1 ( มหาวิทยาลัยอุบลราชธานี)  ยุทธศาสตร์ที่ 1 (คณะเภสัชศาสตร์) </t>
  </si>
  <si>
    <t>4.2.2 โครงการมัชฌิมนิเทศพัฒนาศักยภาพนักศึกษาสู่วิชาชีพนักศึกษาเภสัชศาสตร์ คณะเภสัชศาสตร์</t>
  </si>
  <si>
    <t>4.2.3 โครงการพัฒนาทักษะการบริบาลทางเภสัชกรรมสำหรับอาจารย์ประจำแหล่งฝึก ประจำปีงบประมาณ 2555</t>
  </si>
  <si>
    <t>กลยุทธที่  2  (มหาวิทยาลัยอุบลราชธานี)         ยุทธศาสตร์ที่ 2, 4 (คณะเภสัชศาสตร์)</t>
  </si>
  <si>
    <t>4.2.4 โครงการดำเนินงานสารนิพนธ์ของนักศึกษาเภสัชศาสตร์ ประจำปีงบประมาณ 2555</t>
  </si>
  <si>
    <t>4.2.5 โครงการเตรียมความพร้อมนักศึกษาก่อนออกฝึกปฏิบัติงานวิชาชีพทั่วไป</t>
  </si>
  <si>
    <t>เพื่อเตรียมนักศึกษาก่อนออกฝึกปฏิบัติงานวิชาชีพ</t>
  </si>
  <si>
    <t>นักศึกษามีทัศนคติที่ดีในการทำงาน มีความพร้อมในการฝึกปฏิบัติงาน</t>
  </si>
  <si>
    <t>1.  เชิงปริมาณ  จำนวนนักศึกษาที่เข้าร่วมกิจกรรมไม่ต่ำกว่า ร้อยละ 80    2.  เชิงคุณภาพ ความพึงพอใจของผู้เข้าร่วมกิจกรรมไม่ต่ำกว่าระดับปานกลาง</t>
  </si>
  <si>
    <t>1  ร้อยละ 80            2.  ความพึงพอใจของการจัดกิจกรรมไม่ต่ำกว่าระดับปานกลาง</t>
  </si>
  <si>
    <t>1.  ร้อยละ  2.  ระดับความพึงพอใจ</t>
  </si>
  <si>
    <t>4.2.6 โครงการเตรียมความพร้อมนักศึกษาก่อนออกฝึกปฏิบัติงานวิชาชีพเฉพาะทาง</t>
  </si>
  <si>
    <t>2  ร้อยละ 80            2.  ความพึงพอใจของการจัดกิจกรรมไม่ต่ำกว่าระดับปานกลาง</t>
  </si>
  <si>
    <t>เดือน ตุลาคม 2554-กันยายน 2556</t>
  </si>
  <si>
    <t>4.2.7 โครงการเตรียมความพร้อมของนักศึกษาเภสัชศาสตร์ชั้นปีที่ 4 สาขาเภสัชภัณฑ์ก่อนฝึกปฏิบัติงานวิชาชีพ ศึกษาดูงานผลิตภัณฑ์และการควบคุมคุณภาพ</t>
  </si>
  <si>
    <t xml:space="preserve">1. เพื่อให้นักศึกษาได้เพิ่มพูนความรู้และมีทักษะใน   งานเภสัชกรรมอัน จะก่อให้เกิดประโยชน์ในการปฏิบัติ งานวิชาชีพเภสัชกรรม    2.เพื่อเตรียมความพร้อมให้นักศึกษาก่อนการฝึกปฏิบัติงานวิชาชีพ </t>
  </si>
  <si>
    <t xml:space="preserve">นักศึกษาเข้าใจถึงความสำคัญ และบทบาท ของรายวิชาเภสัชศาสตร์ที่มี ความเกี่ยวข้องกับวิชาชีพในอนาคต </t>
  </si>
  <si>
    <t>นักศึกษามีความรู้ในงานด้านเภสัชกรรมเพิ่มขึ้นอย่างน้อย 3.5 จาก 5</t>
  </si>
  <si>
    <t>เดือน ตุลาคม 2554-กันยายน 2557</t>
  </si>
  <si>
    <t>4.2.8 โครงการเตรียมความพร้อมนักศึกษาเพื่อทำแผนงานการตลาด</t>
  </si>
  <si>
    <t xml:space="preserve">เพื่อให้นักศึกษาได้เพิ่มพูนความรู้และมีทักษะใน   งานเภสัชกรรมการตลาด </t>
  </si>
  <si>
    <t>นักศึกษาเข้าใจถึงความสำคัญ และบทบาท ของรายวิชาเภสัชกรรมการตลาด</t>
  </si>
  <si>
    <t>นักศึกษามีความรู้ในงานด้านเภสัชกรรมการตลาด</t>
  </si>
  <si>
    <t>ประกวดโครงงานได้รางวัลอย่างน้อย 1 รางวัล</t>
  </si>
  <si>
    <t>จำนวนรางวัล</t>
  </si>
  <si>
    <t>เดือน ตุลาคม 2554-กันยายน 2558</t>
  </si>
  <si>
    <t>4.2.9 โครงการอบรมเสวนาสำหรับแหล่งฝึกปฏิบัติงาน</t>
  </si>
  <si>
    <t>เพื่อให้เภสัชกรประจำแหล่งมีองค์ความรู้ที่ทันสมัย และสามารถประยุกต์ใช้เพื่อปฏิบัติงานและดูแลให้คำแนะนำสำหรับนักศึกษาได้</t>
  </si>
  <si>
    <t>เภสัชกร มีองค์ความรู้ เป็นแบบอาจารย์พี่เลี้ยงที่มีคุณภาพ</t>
  </si>
  <si>
    <t>1. เชิงปริมาณ จำนวนอาจารย์ และเภสัชกร ประจำแหล่งฝึกเข้าร่วม ไม่น้อยกว่า   20 คน 2.  สามารถเพิ่มจำนวนแหล่งฝึกปฏิบัติงานเฉพาะทางที่มีมาตรฐานได้อย่างน้อย 2 แหล่ง</t>
  </si>
  <si>
    <t>จำนวนเภสัชกร จำนวนแหล่งฝึก</t>
  </si>
  <si>
    <t>เดือน ตุลาคม 2554-กันยายน 2559</t>
  </si>
  <si>
    <t xml:space="preserve">กลยุทธที่ 2,4 ( มหาวิทยาลัยอุบลราชธานี)  ยุทธศาสตร์ที่ 2 (คณะเภสัชศาสตร์) </t>
  </si>
  <si>
    <t>4.2.10 โครงการความร่วมมือกับแหล่งฝึกปฏิบัติงาน</t>
  </si>
  <si>
    <t>เพื่อพัฒนาเภสัชกร และอาจารย์ประจำแหล่งฝึกให้มีมาตรฐานในการประเมินนักศึกษา</t>
  </si>
  <si>
    <t>อาจารย์และเภสัชกรประจำแหล่งฝึกมีมาตรฐานในการสอน ประเมินนักศึกษา</t>
  </si>
  <si>
    <t>1.  จำนวน อาจารย์และเภสัชกรปรจำแหล่งฝึกที่เข้าร่วมอบรมสัชศาสตร์ศึกษา ไม่น้อย กว่า 5 คน   2. ระดับความรู้ด้านการประเมินผลเพิ่มขึ้นไม่น้อย 3 จาก 5 ระดับ</t>
  </si>
  <si>
    <t>1.  จำนวน 2  ระดับความรู้ด้านการประเมินผล</t>
  </si>
  <si>
    <t>1.  จำนวน 2. ระดับความรู้</t>
  </si>
  <si>
    <t>เดือน ตุลาคม 2554-กันยายน 2560</t>
  </si>
  <si>
    <t>อย่างน้อย 12 ครั้ง</t>
  </si>
  <si>
    <t xml:space="preserve">1. เพื่อให้บริการทางเภสัชกรรมแก่ผู้ป่วยที่มารับบริการ ณ โรงพยาบาล สถานพยาบาล โดยคณาจารย์ 
2.เพื่อให้เกิดการประสานความร่วมมือระหว่างคณะเภสัชศาสตร์และแหล่งฝึกปฏิบัติวิชาชีพ
</t>
  </si>
  <si>
    <t>การให้บริการทางเภสัชกรรมแก่ผู้ป่วยที่มารับบริการ ณ โรงพยาบาล สถานพยาบาลโดยคณาจารย์</t>
  </si>
  <si>
    <t xml:space="preserve">1. ด้านปริมาณ ได้แก่  จำนวนผู้ป่วยที่ได้รับการบริบาลทางเภสัชกรรม 
2. ด้านคุณภาพ ได้แก่  ค้นหาและแก้ปัญหาจากการใช้ยาในผู้ป่วย 
</t>
  </si>
  <si>
    <t>1. อย่างน้อย 200 คน
2.อย่างน้อย 50 รายการ</t>
  </si>
  <si>
    <t xml:space="preserve">1. จำนวน  
2. จำนวน  </t>
  </si>
  <si>
    <t xml:space="preserve">1. เพื่อเผยแพร่ความรู้ด้านยาและสุขภาพแก่ผู้ป่วยที่มารับบริการ ณ โรงพยาบาล สถานพยาบาล และประชาชนในชุมชนโดยคณาจารย์ 
2.เพื่อให้เกิดการประสานความร่วมมือระหว่างคณะเภสัชศาสตร์และแหล่งฝึกปฏิบัติวิชาชีพ และชุมชนรอบมหาวิทยาลัย
</t>
  </si>
  <si>
    <t xml:space="preserve">การเผยแพร่ความรู้ด้านยาและสุขภาพแก่ผู้ป่วยที่มารับบริการ ณ โรงพยาบาล ร้านยา สถานพยาบาลอื่น และประชาชนในชุมชนรอบมหาวิยาลัย
</t>
  </si>
  <si>
    <t xml:space="preserve">1. ด้านปริมาณ ได้แก่  จำนวนผู้เข้าร่วมโครงการ 
2. ด้านคุณภาพ ได้แก่  ความพึงพอใจของผู้เข้าร่วมโครงการ
</t>
  </si>
  <si>
    <t>1. อย่างน้อยร้อยละ 80
2. อย่างน้อยร้อยละ 95</t>
  </si>
  <si>
    <t xml:space="preserve">1. ร้อยละ 
2. ร้อยละ </t>
  </si>
  <si>
    <t xml:space="preserve">1. เพื่อเพิ่มพูนความรู้ด้านยาที่ทันสมัยให้แก่เภสัชกร ให้สอดคล้องกับการบริบาลทางเภสัชกรรมที่เป็นปัจจุบัน 
2.เพื่อพัฒนาความสามารถในการบูรณาการองค์ความรู้หลายประการและประสบการณ์  ในการค้นหา  วางแผนการแก้ไข  ติดตาม และป้องกันปัญหาจากการใช้ยา  เพื่อประชาชนใช้ยาอย่างเหมาะสม </t>
  </si>
  <si>
    <t>ผู้เข้าร่วมประชุมมีองค์ความรู้เกี่ยวงานบริการเภสัชสนเทศ การใช้ยาเพื่อความปลอดภัยของผู้ป่วย และสามารถนำไปประยุกต์ใช้ในหน่วยงานของตนได้</t>
  </si>
  <si>
    <t>1. อย่างน้อยร้อยละ 80
2. อย่างน้อยร้อยละ 90</t>
  </si>
  <si>
    <t xml:space="preserve">1. เพื่อพัฒนาฐานข้อมูลภาษาอีสานที่ใช้สื่อสารด้านสุขภาพเป็นการสืบสานและอนุรักษ์การใช้ภาษาถิ่นอีสาน 
2.เพื่อใช้ในการเรียนการสอนของคณะต่าง ๆ ที่เกี่ยวข้องกับวิทยาศาสตร์สุขภาพ  เพื่อประชาชนใช้ยาอย่างเหมาะสม </t>
  </si>
  <si>
    <t xml:space="preserve">ฐานข้อมูลภาษาอีสาน 1 กลุ่มโรค </t>
  </si>
  <si>
    <t xml:space="preserve">1.ได้ฐานข้อมูลภาษาอีสาน 1 กลุ่มโรค  
2. มีการบูรณาการโครงการนี้เข้ากับการเรียนการสอน วิชาบริการเภสัชสนเทศของนักศึกษาเภสัชศาสตร์ 
</t>
  </si>
  <si>
    <t>1. อย่างน้อย 1 ฐานข้อมูล
2. อย่างน้อย 1  รายวิชา</t>
  </si>
  <si>
    <t xml:space="preserve">1. จำนวน 
2. จำนวน </t>
  </si>
  <si>
    <t xml:space="preserve">1. เพื่อให้มีการจัดตั้งโครงการพ่อแม่อาสาเพื่อทำประโยชน์ให้เด็ก ๆ ในชุมชนมหาวิทยาลัย 
2. เพื่อเป็นโครงการให้บุคลากรมหาวิทยาลัย นักศึกษามหาวิทยาลัย ได้มีโอกาสทำประโยชน์ และความเสียสละต่อสังคม </t>
  </si>
  <si>
    <t xml:space="preserve">1. เด็กและเยาวชนในมหาวิทยาลัยอุบลราชธานีและรอบมหาวิทยาลัย ได้รับการดูแลในด้านสุขภาพและด้านจิตใจ 
2.อาสาสมัครในโครงการได้มีโอกาสทำประโยชน์ และความเสียสละต่อสังคม </t>
  </si>
  <si>
    <t xml:space="preserve">1. ด้านปริมาณ ได้แก่  จำนวนผู้เข้าร่วมโครงการ 
2. ด้านคุณภาพ ได้แก่  ความพึงพอใจของผู้เข้าร่วมโครงการ
3.  มีการบูรณาการโครงการนี้เข้ากับการเรียนการสอน วิชาบริการเภสัชสนเทศของนักศึกษาเภสัชศาสตร์ </t>
  </si>
  <si>
    <t>1. อย่างน้อย 30 คน 
2. อย่างน้อยร้อยละ 80
3. อย่างน้อย 1 รายวิชา</t>
  </si>
  <si>
    <t>1. จำนวน 
2. ร้อยละ
3. จำนวน</t>
  </si>
  <si>
    <t>เพื่อดำเนินการซ่อมแซมครุภัณฑ์วิทยาศาสตร์ให้เพียงพอต่อการใช้งานการเรียนการสอนและงานวิจัยของ นศ. และอาจารย์</t>
  </si>
  <si>
    <t>ครุภัณฑ์ที่ชำรุดได้รับการซ่อมแซมอย่างน้อย 5 รายการ</t>
  </si>
  <si>
    <t>1.เพื่อให้บุคลกรห้องปฏิบัติการมีการแลกเปลี่ยนความรู้ทักษะที่เป็นประโยชน์ต่อการปฏิบัติงาน 2. มีการแลกเปลี่ยนความคิดเห็นร่วมกันเพื่อให้เกิดการทำงานที่มีการประสานงานกันได้อย่างมีประสิทธิภาพ 3.เพื่อสร้างเจตคติที่ดีในการทำงาน</t>
  </si>
  <si>
    <t>1.จำนวนบุคลกรที่เข้าร่วมโครงการอย่างน้อยร้อยละ 50                            2. จำนวนการประชุมเพื่อแลกเปลี่ยนความคิดเห็น และทัศนคติ อย่างน้อย 8 ครั้ง</t>
  </si>
  <si>
    <t>นศ.คณะเภสัชศาสตร์เข้าร่วมโครงการไม่น้อยกว่าร้อยละ 60</t>
  </si>
  <si>
    <t>1.นศ.ที่ทำสารนิพนธ์ได้รับความรู้ด้านความปลอดภัยในการใช้ห้องปฏิบัติการ</t>
  </si>
  <si>
    <t>นศ.ที่เข้าร่วมโครงการสอบผ่านการฝึกอบรมร้อยละ 50</t>
  </si>
  <si>
    <t>1. ลดการปลดปล่อยมลพิษสู่สิ่งแวดล้อม 2.บุคลากรในและรอบมหาวิทยาลัยมีสุขภาพที่ดี น้ำดื่มน้ำใช้ปราศจากปนเปื้อนสารเคมี</t>
  </si>
  <si>
    <t>มีบริษัทกำจัดของเสียเข้ามารับของเสียไปกำจัด</t>
  </si>
  <si>
    <t xml:space="preserve"> 1. เพื่อผลิตบัณฑิตที่มีคุณภาพตามมาตรฐานเกณฑ์วิชาชีพและเป็นบัณฑิตที่พึงประสงค์ของสังคมไทย
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
3. เพื่อจัดรูปแบบการเรียนรู้โดยเน้นผู้เรียนเป็นศูนย์กลาง
4. เพื่อให้นักศึกษาเภสัชศาสตร์ฝึกทักษะในการวิเคราะห์ปัญหาสุขภาพและสามารถถ่ายทอดความรู้เกี่ยวกับสุขภาพและการใช้ยาสู่ชุมชนได้
5. เพื่อให้นักศึกษาได้มีโอกาสในการสร้างเสริมประสบการณ์นอกห้องเรียน หรือศึกษาดูงานในระดับอุตสาหกรรมและโรงพยาบาล
6. เพื่อให้นักศึกษาสามารถประยุกต์และบูรณาการความรู้ในการทำวิจัย เรียนรู้การแก้ปัญหาอย่างเป็นระบบ และพัฒนาทักษะในการนำเสนอผลงานวิจัยได้
7. เพื่อประกันคุณภาพมาตรฐานการศึกษาของหลักสูตรก่อนสำเร็จการศึกษาของนักศึกษาเภสัชศาสตร์</t>
  </si>
  <si>
    <t>1. บัณฑิตมีคุณภาพตามมาตรฐานเกณฑ์วิชาชีพและเป็นบัณฑิตที่พึงประสงค์ของสังคมไทย
2. นักศึกษาเภสัชศาสตร์มีทักษะการวิเคราะห์ปัญหาสุขภาพและสามารถถ่ายทอดความรู้เกี่ยวกับสุขภาพและการใช้ยาสู่ชุมชนได้
3. นักศึกษามีโอกาสในการสร้างเสริมประสบการณ์นอกห้องเรียน หรือศึกษาดูงานในระดับอุตสาหกรรมและโรงพยาบาล
4. นักศึกษาสามารถประยุกต์และบูรณาการความรู้ในการทำวิจัย เรียนรู้การแก้ปัญหาอย่างเป็นระบบ และพัฒนาทักษะในการนำเสนอผลงานวิจัยได้</t>
  </si>
  <si>
    <t>1. ร้อยละของจำนวนนักศึกษาใหม่ที่รับเข้า 
2. ร้อยละของบัณฑิตที่สำเร็จการศึกษา
3. ร้อยละของบัณฑิตที่มีงานทำภายหลังจากสำเร็จการศึกษา 1 ปี 
4. จำนวนนักศึกษาที่สอบผ่านการสอบประมวลความรอบรู้ครั้งที่ 1 
5. ความพึงพอใจของผู้ใช้บัณฑิตปีที่ผ่านมาไม่น้อยกว่า 3.51 (คะแนนเต็ม 5)</t>
  </si>
  <si>
    <t>1. ไม่น้อยกว่าร้อยละ 80 ของแผนการรับ
2. ไม่น้อยกว่าร้อยละ 80 ของจำนวนนักศึกษาที่รับเข้า
3. ไม่น้อยกว่าร้อยละ 80
4. ไม่น้อยกว่าร้อยละ 80 ของจำนวนผู้เข้าสอบ
5. ค่าเฉลี่ยไม่น้อยกว่า 3.51</t>
  </si>
  <si>
    <t>1. ร้อยละ
2. ร้อยละ
3. ร้อยละ
4. ร้อยละ
5. ค่าคะแนน</t>
  </si>
  <si>
    <t>เดือนตุลาคม 2554- เดือนกันยายน 2555</t>
  </si>
  <si>
    <t>1.เพื่อดำเนินการออกข้อสอบ จัดการสอบ และประเมินผลการสอบ
2. เพื่อวัดผลสัมฤทธิ์ในการเรียนของนักศึกษาตามหลักสูตรเภสัชศาสตรบัณฑิต
3. เพื่อเตรียมความพร้อมด้านความรู้และทักษะวิชาชีพเภสัชกรรมให้แก่นักศึกษา</t>
  </si>
  <si>
    <t>1.มีการจัดสอบและการประเมิน ผลสำเร็จตามวัตถุประสงค์ 
2.นักศึกษามีความพร้อมในการสอบความรู้ผู้ขอขึ้นทะเบียนเป็นผู้ประกอบวิชาชีพฯ สามารถสอบผ่านความรู้ผู้ขอขึ้นทะเบียนเป็นผู้ประกอบวิชาชีพฯ</t>
  </si>
  <si>
    <t>เดือนมิถุนายน 2554 - มีนาคม 2555</t>
  </si>
  <si>
    <t xml:space="preserve">1. เพื่อเตรียมความพร้อมในการปรับปรุงหลักสูตรให้สอดคล้องตามกรอบมาตรฐานคุณวุฒิระดับอุดมศึกษาแห่งชาติ (TQF) เกณฑ์มาตรฐานหลักสูตรและเกณฑ์มาตรฐานวิชาชีพ
2. เพื่อดำเนินการปรับปรุงหลักสูตรเข้าสู่กรอบมาตรฐานคุณวุฒิระดับอุดมศึกษาแห่งชาติ 
</t>
  </si>
  <si>
    <t>1.  มีหลักสูตรฉบับปรับปรุงที่ดำเนินการตามกรอบมาตรฐานคุณวุฒิระดับอุดมศึกษาแห่งชาติ</t>
  </si>
  <si>
    <t>1. ร้อยละของหลักสูตรที่ปรับปรุงเข้าสู่กรอบมาตรฐานคุณวุฒิระดับอุดมศึกษาแห่งชาติ</t>
  </si>
  <si>
    <t>1. ร้อยละ 100</t>
  </si>
  <si>
    <t xml:space="preserve">1. ร้อยละ 
</t>
  </si>
  <si>
    <t>เดือนตุลาคม 2554 - พฤษภาคม 2555</t>
  </si>
  <si>
    <t>1. เพื่อให้คณาจารย์มีความรู้ความเข้าใจที่ถูกต้องในกระบวนการจัดการเรียนการสอน
2. เพื่อให้คณาจารย์มีทักษะการสอน การวัดและประเมินผล และการจัดทำสื่อการสอนที่ถูกต้องเหมาะสม</t>
  </si>
  <si>
    <t>1. คณาจารย์มีความรู้ความเข้าใจที่ถูกต้องในกระบวนการจัดการเรียนการสอน
2. คณาจารย์มีทักษะการสอน การวัดและประเมินผล และการจัดทำสื่อการสอนที่ถูกต้องเหมาะสม</t>
  </si>
  <si>
    <t>1. ร้อยละของผู้เข้าร่วมการอบรม
2.จำนวนรายวิชาที่ได้คะแนนการประเมินการจัดการเรียนการสอนรายวิชา ในระดับคะแนนเฉลี่ย 3.51 (จากคะแนนเต็ม 5)</t>
  </si>
  <si>
    <t>1. ไม่ต่ำกว่าร้อยละ 80 ของจำนวนอาจารย์ทั้งหมด
2. ไม่น้อยกว่าร้อยละ 80 ของจำนวนรายวิชาทั้งหมด</t>
  </si>
  <si>
    <t>1. ร้อยละ
2. ร้อยละ</t>
  </si>
  <si>
    <t>เดือนตุลาคม 2554 - เดือนพฤษภาคม 2555</t>
  </si>
  <si>
    <t>1. เพื่อผลิตบัณฑิตที่มีคุณภาพตามเกณฑ์วิชาชีพและเป็นบัณฑิตที่พึงประสงค์ของสังคมไทย 
2. เพื่อเพิ่มกำลังการผลิตบัณฑิตเภสัชศาสตร์ ตอบสนองความต้องการภูมิภาคตะวันออกเฉียง เหนือและของประเทศ</t>
  </si>
  <si>
    <t>1. มีบัณฑิตที่มีคุณภาพตามเกณฑ์มาตรฐานวิชาชีพ และเป็นบัณฑิตที่พึงประสงค์ของสังคมไทย</t>
  </si>
  <si>
    <t>1. ร้อยละของนักศึกษาที่รับเข้า
2. ร้อยละของบัณฑิตที่สำเร็จการศึกษาต่อจำนวนนักศึกษาที่รับเข้า</t>
  </si>
  <si>
    <t xml:space="preserve">1. ไม่ต่ำกว่าร้อยละ 50 ของแผนการรับ
2. ไม่ต่ำกว่าร้อยละ 75 </t>
  </si>
  <si>
    <t>เดือนตุลาคม 2554 -เดือนกันยายน 2555</t>
  </si>
  <si>
    <t xml:space="preserve">1. เพื่อผลิตบัณฑิตที่มีความรู้ด้านโฮมีโอพาธีย์
2. เพื่อส่งเสริมให้บุคลากรทางแพทย์มีการนำความรู้ทางการแพทย์ทางเลือก สาขาโฮมีโอพาธีย์ไปประยุกต์ใช้ในการปฏิบัติงานจริง
</t>
  </si>
  <si>
    <t>1. มีบัณฑิตที่มีความรู้ ความสามารถ และทักษะการปฏิบัติงานด้านโฮมีโอพาธีย์</t>
  </si>
  <si>
    <t>1. ร้อยละของวัสดุ  ตำรา วารสารทางวิชาการและโสตทัศนูปกรณ์ ที่เพิ่มขึ้น 
2. ระดับความพึงพอใจของผู้ใช้บริการห้องเอกสารอ้างอิงฯ (คะแนนเต็ม 5)</t>
  </si>
  <si>
    <t xml:space="preserve">1. เพิ่มขึ้นร้อยละ 2
2. ระดับความพึงพอใจฯ ไม่น้อยกว่า 3.51 </t>
  </si>
  <si>
    <t>เดือนธันวาคม 2554 - สิงหาคม 2555</t>
  </si>
  <si>
    <t xml:space="preserve">1. เพื่อพัฒนาให้เกิดหลักสูตรระดับปริญญาตรีในสาขาที่ตรงตามความต้องการของผู้เรียนและผู้ใช้บัณฑิต </t>
  </si>
  <si>
    <t>1. มีหลักสูตรระดับปริญญาตรีที่เป็นไปตามความต้องการของผู้เรียนและผู้ใชhบัณฑิต</t>
  </si>
  <si>
    <t>1. จำนวนหลักสูตรระดับปริญญาตรี</t>
  </si>
  <si>
    <t>1.  จำนวน 1 หลักสูตร</t>
  </si>
  <si>
    <t>จำนวนหลักสูตร</t>
  </si>
  <si>
    <t xml:space="preserve">2. เพื่อพัฒนาให้เกิดหลักสูตรระดับบัณฑิตศึกษาในสาขาที่ตรงตามความต้องการของผู้เรียนและผู้ใช้บัณฑิต </t>
  </si>
  <si>
    <t>2. มีหลักสูตรระดับบัณฑิตศึกษาที่เป็นไปตามความต้องการของผู้เรียนและผู้ใช้บัณฑิต</t>
  </si>
  <si>
    <t>2. จำนวนหลักสูตรระดับบัณฑิตศึกษา</t>
  </si>
  <si>
    <t>2. จำนวน 1 หลักสูตร</t>
  </si>
  <si>
    <t>3. เพื่อพัฒนาให้เกิดหลักสูตรการฝึกอบรมระยะสั้นในด้านต่างๆ ที่เป็นประโยชน์และเพิ่มทักษะแก่เภสัชกรและผู้สนใจ</t>
  </si>
  <si>
    <t>3. มีหลักสูตรการฝึกอบรมระยะสั้นรูปแบบต่างๆ ที่เป็นประโยชน์ต่อเภสัชกรและผู้สนใจ</t>
  </si>
  <si>
    <t>3. จำนวนหลักสูตรการฝึกอบรมระยะสั้นสำหรับเภสัชกรในด้านต่างๆ</t>
  </si>
  <si>
    <t>3.  จำนวน 1 หลักสูตร</t>
  </si>
  <si>
    <t>1. เพื่อให้คณาจารย์ บุคลากร และนักศึกษามีทักษะการใช้ภาษาอังกฤษในการเรียนการสอน และการทำงานทีมีประสิทธิภาพ</t>
  </si>
  <si>
    <t>1. คณาจารย์ บุคลากร และนักศึกษามีทักษะการใช้ภาษาอังกฤษในการเรียนการสอน และการทำงานทีมีประสิทธิภาพ</t>
  </si>
  <si>
    <t>1. ร้อยละของผู้เข้าร่วมอบรม
2. คะแนนการประเมินโครงการ</t>
  </si>
  <si>
    <t>1. ไม่น้อยกว่าร้อยละ 80 ของกลุ่มเป้าหมาย
2. ไม่น้อยกว่า 3.51 (จากคะแนนเต็ม 5)</t>
  </si>
  <si>
    <t>1. ร้อยละ
2. ค่าคะแนน</t>
  </si>
  <si>
    <t>1. เพื่อเตรียมความพร้อมด้านภาษาอังกฤษแก่นักศึกษาเภสัชศาสตร์เพื่อรองรับการเข้าสู่ประชาคมอาเซียน</t>
  </si>
  <si>
    <t>1. มีการจัดการเรียนการสอนในรายวิชาเป็นภาษาอังกฤษ</t>
  </si>
  <si>
    <t>1. จำนวนรายวิชาที่จัดการเรียนการสอนเป็นภาษาอังกฤษ</t>
  </si>
  <si>
    <t>1. อย่างน้อยกลุ่มวิชาละ 1 รายวิชา</t>
  </si>
  <si>
    <t>1. จำนวนรายวิชา</t>
  </si>
  <si>
    <t>1. เพื่อผลิตบัณฑิตที่มีคุณภาพตามมาตรฐานเกณฑ์วิชาชีพและเป็นบัณฑิตที่พึงประสงค์ของสังคมไทย
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
3. เพื่อขยายโอกาสทางการศึกษาแก่นักเรียน/นักศึกษารวมถึงผู้สนใจในการศึกษาด้านเภสัชศาสตร์
4. เพื่อประกันคุณภาพมาตรฐานการศึกษาของหลักสูตรก่อนสำเร็จการศึกษาของนักศึกษาเภสัชศาสตร์</t>
  </si>
  <si>
    <t>1. บัณฑิตมีคุณภาพตามมาตรฐานเกณฑ์วิชาชีพและเป็นบัณฑิตที่พึงประสงค์ของสังคมไทย
2. นักศึกษาเภสัชศาสตร์มีทักษะการวิเคราะห์ปัญหาสุขภาพและสามารถถ่ายทอดความรู้เกี่ยวกับสุขภาพและการใช้ยาสู่ชุมชนได้
3. จำนวนนักเรียน/นักศึกษาหรือผู้สนใจมีโอกาสในการศึกษาด้านเภสัชศาสตร์และประกอบวิชาชีพเภสัชศาสตร์ตามความต้องการของตลาดแรงงานเพิ่มขึ้น</t>
  </si>
  <si>
    <t xml:space="preserve">1. เพื่อเป็นสื่อกลางของคณะที่สามารถให้ข้อมูลแก่คณาจารย์ได้อย่างทั่วถึง คณาจารย์จะได้รับทราบข้อมูล ทิศทางและนโยบายของคณะ สามารถนำไปพิจารณาปฏิบัติได้อย่างมีประสิทธิภาพและเป็นไปในทิศทางเดียวกัน
2. เพื่อเป็นเวทีทางวิชาการของคณาจารย์ในอันที่จะเป็นประโยชน์ในการพัฒนางานและพัฒนาตน
3. เพื่อเป็นเวทีที่เปิดโอกาสให้คณาจารย์ได้ร่วมแสดงความคิดเห็น แลกเปลี่ยนประสบการณ์ และช่วยกันระดมความคิดแก้ไขปัญหาที่เกิดขึ้นในกลุ่มวิชาและคณะฯ 
4. เพื่อพัฒนาประสิทธิภาพในการจัดการเรียนการสอน ให้เป็นแนวปฏิบัติที่ดีของกลุ่มวิชา
5. เสริมสร้างความสัมพันธ์อันดีระหว่างคณาจารย์ในกลุ่มวิชา
</t>
  </si>
  <si>
    <t xml:space="preserve">1. คณาจารย์ได้รับทราบทิศทาง นโยบายของคณะและข้อมูลต่าง ๆ สามารถนำไปพิจารณาปฏิบัติได้อย่างมีประสิทธิภาพและเป็นไปในทิศทางเดียวกัน
2. คณาจารย์ในกลุ่มวิชาทราบข้อมูลกิจกรรมต่าง ๆ ทั้งจากภายในและภายนอกคณะอย่างทั่วถึง
3. ปัญหาของกลุ่มวิชาได้รับการแก้ไขอย่างเป็นระบบโดยผ่านกระบวนการแก้ไขปัญหาต่างๆ ร่วมกันของคณาจารย์ในกลุ่มวิชา 
4. กลุ่มวิชามีแนวปฏิบัติที่ดีในด้านการเรียนการสอน เช่น  มีมาตรฐานในการประเมินผลและตัดเกรดในรายวิชาต่างๆ  และผลการประเมินรายวิชาและการสอนของคณาจารย์ในกลุ่มวิชาอยู่ในระดับดีขึ้นไป
5. คณาจารย์ในกลุ่มวิชามีความสัมพันธ์อันดีต่อกัน
</t>
  </si>
  <si>
    <t>ตุลาคม 2554 – กันยายน 2555</t>
  </si>
  <si>
    <t>1. เพื่อส่งเสริมและเผยแพร่แนวคิดการสร้างเสริมสุขภาพให้นักเรียนในโรงเรียนเครือข่ายมหาวิทยาลัยอุบลราชธานีและประชาชนที่อาศัยอยู่บริเวณรอบโรงเรียนเครือข่ายมหาวิทยาลัยอุบลราชธานีตระหนักถึงการดูแลสุขภาพของตนเอง คนในครอบครัวและชุมชนก่อนการใช้ยา 
2. เพื่อให้ประชาชนที่อาศัยอยู่บริเวณรอบโรงเรียนเครือข่ายมหาวิทยาลัยอุบลราชธานีได้รับความรู้ด้านสุขภาพ มีส่วนร่วมในการแสดงความเห็น และสอบถามปัญหาเกี่ยวกับสุขภาพและการใช้ยา
3. เพื่อให้นักศึกษาคณะเภสัชศาสตร์ได้เรียนรู้สภาพปัญหาที่แท้จริงในชุมชนและสามารถวางแผนแก้ไขได้
4. เพื่อให้อาสาสมัครสาธารณสุขประจำหมู่บ้าน (อสม.) มีทักษะการสร้างเสริมสุขภาพแก่เด็กวัยเรียน</t>
  </si>
  <si>
    <t>1. นักเรียนโรงเรียนเครือข่ายมหาวิทยาลัยอุบลราชธานีได้รับความรู้ ความเข้าใจที่ถูกต้อง ในการดูแลและการสร้างเสริมสุขภาพ
2. ประชาชนที่อาศัยอยู่บริเวณรอบโรงเรียนเครือข่ายมหาวิทยาลัยอุบลราชธานีได้รับความรู้ด้านสุขภาพ มีส่วนร่วมในการแสดงความเห็น และสอบถามปัญหาเกี่ยวกับสุขภาพและการใช้ยา
3. นักศึกษาคณะเภสัชศาสตร์ชั้นปีที่ ๓ ได้เรียนรู้สภาพปัญหาที่แท้จริงในชุมชนและสามารถวางแผนแก้ไขได้
4. อาสาสมัครสาธารณสุขประจำหมู่บ้าน (อสม.) มีแนวคิดและทักษะการสร้างเสริมสุขภาพแก่เด็กวัยเรียน
5. เกิดเครือข่ายทางวิชาการระหว่างคณะเภสัชศาสตร์ มหาวิทยาลัยอุบลราชธานี กับโรงเรียนเครือข่ายมหาวิทยาลัยอุบลราชธานี และศูนย์ส่งเสริมสุขภาพชุมชนในจังหวัดอุบลราชธานี</t>
  </si>
  <si>
    <t xml:space="preserve">1. มีนักเรียนโรงเรียนเครือข่ายมหาวิทยาลัยอุบลราชธานีร่วมโครงการไม่น้อยกว่าร้อยละ ๖๐ ของกลุ่มเป้าหมาย  
2. ครูประจำโรงเรียนเครือข่ายมหาวิทยาลัยอุบลราชธานี อาสาสมัครสาธารณสุขประจำหมู่บ้าน (อสม.) และประชาชนที่อาศัยอยู่รอบบริเวณโรงเรียนเครือข่ายมหาวิทยาลัยอุบลราชธานีร้อยละ ๖๐ มีความพึงพอใจในการร่วมกิจกรรมระดับมาก
3. มีการบูรณาการโครงการนี้เข้ากับการเรียนการสอนวิชาปฏิบัติการเภสัชวิทยา ๑ และ/หรือ ปฏิบัติการเภสัชวิทยา ๒ ของนักศึกษาเภสัชศาสตร์ชั้นปีที่ ๓  
4. นักศึกษาคณะเภสัชศาสตร์ มหาวิทยาลัยอุบลราชธานีผู้ร่วมโครงการ ร้อยละ ๖๐ มีความพึงพอใจต่อการจัดกิจกรรม ในระดับพึงพอใจมาก และมีความเห็นว่าสมควรให้จัดกิจกรรมนี้ต่อไป
</t>
  </si>
  <si>
    <t xml:space="preserve">1. เพื่อเพิ่มพูนความรู้ ด้านความก้าวหน้าทางวิชาการทางเภสัชกรรมแก่เภสัชกรในภาคตะวันออกเฉียงเหนือ เพื่อใช้ในการปฏิบัติหน้าที่ให้ดียิ่งขึ้น
2. เพื่อเป็นเวทีวิชาการที่เปิดโอกาสให้เภสัชกรได้เผยแพร่ผลงานวิชาการ ตลอดจนแลกเปลี่ยนความรู้และประสบการณ์ที่สามารถนำไปใช้ในการให้บริการแก่ประชาชนทั่วไป
3. เพื่อกระตุ้นให้เภสัชกรมีความตระหนักในจรรยาบรรณวิชาชีพ
4. เพื่อส่งเสริมและสนับสนุนการพัฒนาเครือข่ายทางวิชาการสำหรับเภสัชกร เป็นผลให้เกิดการประสานงานกิจกรรมเชิงวิชาชีพที่มีประสิทธิภาพ  เช่น การฝึกปฏิบัติงานวิชาชีพ และ กิจกรรมสัปดาห์เภสัชกรรม
5. เพื่อพัฒนาเภสัชกรให้มีความรู้อย่างต่อเนื่อง โดยคิดเป็นหน่วยกิตการศึกษาต่อเนื่อง (CE)
6. เพื่อเผยแพร่ชื่อเสียงและบทบาทของคณะเภสัชศาสตร์ มหาวิทยาลัยอุบลราชธานี
</t>
  </si>
  <si>
    <t xml:space="preserve">1. เภสัชกรผู้เข้าร่วมประชุมได้รับความรู้ ด้านความก้าวหน้าทางวิชาการทางเภสัชกรรมเพื่อใช้ในการปฏิบัติหน้าที่ให้ดียิ่งขึ้น
2. เภสัชกรผู้เข้าร่วมประชุมได้แลกเปลี่ยนความคิดเห็นและประสบการณ์  ที่สามารถนำไปใช้ในการให้บริการแก่ประชาชนทั่วไป และเกิดการเผยแพร่ผลงานทางวิชาการ
3. เภสัชกรผู้เข้าร่วมประชุมตระหนักในจรรยาบรรณวิชาชีพ 
4. เกิดเครือข่ายทางวิชาการสำหรับเภสัชกรภาคตะวันออกเฉียงเหนือ
5. การประสานงานกิจกรรมเชิงวิชาชีพเป็นไปอย่างประสิทธิภาพ เช่น การฝึกปฏิบัติงานวิชาชีพ และกิจกรรมสัปดาห์เภสัชกรรม
6. เภสัชกรผู้เข้าร่วมประชุม ได้รับหน่วยกิตการศึกษาต่อเนื่อง (CE)
</t>
  </si>
  <si>
    <t xml:space="preserve">1. เภสัชกรที่เข้าร่วมมีจำนวนไม่น้อยกว่าร้อยละ ๖๐ ของกลุ่มเป้าหมาย
2. มีผลงานวิจัยนำเสนอแบบโปสเตอร์และนำเสนอแบบปากเปล่า จากเครือข่ายต่างๆ ไม่น้อยกว่า ๑๐ ผลงาน
3. ผู้เข้าร่วมโครงการมีระดับความพึงพอใจมากกว่าระดับ ๓ (จาก ๕)
</t>
  </si>
  <si>
    <t>เดือนมีนาคม  - พฤษภาคม 2555</t>
  </si>
  <si>
    <t xml:space="preserve">1.เพื่อให้บุคลากรสำนัก งานมีการ  แลก เปลี่ยนความรู้ ทักษะที่เป็นประโยชน์ต่อการปฏิบัติงาน              2.เพื่อสร้าง  เจตคติที่ดี ฝึกการทำงานเป็นทีม </t>
  </si>
  <si>
    <t>เพื่อกำหนดแผนกลยุทธการบริหารทรัพยากรการเงินของคณะเภสัชศาสตร์ ในช่วงปีงบประมาณ 2555 - 2559</t>
  </si>
  <si>
    <t>มีแผนกลยุทธ์การบริหารทรัพยากรการเงินเพื่อเป็นแนวทางการเงินและงบประมรณ</t>
  </si>
  <si>
    <t>แผนกลยุทธ์การบริหารทรัพยากรการเงิน</t>
  </si>
  <si>
    <t>1 ฉบับ</t>
  </si>
  <si>
    <t xml:space="preserve"> เพื่อให้มีระบบการประเมินการบริหารงานของคณะเภสัชศาสตร์ สำหรับใช้เป็นแนวทางในการปรับปรุงและพัฒนาระบบบริหารให้มีประสิทธิภาพ</t>
  </si>
  <si>
    <t>มีการประเมินระบบบริหาร</t>
  </si>
  <si>
    <t>ผลการประเมินระบบบริหาร อยู่ในระดับดี</t>
  </si>
  <si>
    <t>คะแนน 3.5 จากคะแนนเต็ม 5</t>
  </si>
  <si>
    <t>คะแนน</t>
  </si>
  <si>
    <t>เดือนตุลาคม 2554 - กันยายน 2555</t>
  </si>
  <si>
    <t>เดือนพฤษภาคม  - สิงหาคม 2555</t>
  </si>
  <si>
    <t>เดือนธันวาคม 2554-สิงหาคม 2555</t>
  </si>
  <si>
    <t>1.นศ.มีความเข้าใจ เกี่ยวกับลักษณะทางพฤกษศาสตร์ของพืชสมุนไพร                2.นศ.มีทัศนคติที่ดีต่อการอนุรักษ์  ธรรมชาติ และภูมิปัญญาท้องถิ่น             3. นศ.มีความสามัคคีภายในชั้นปี</t>
  </si>
  <si>
    <t>(รวมกับกิจกรรมของกลุ่มวิชาชีวเภสัชศาสตร์และกลุ่มวิชาอื่นๆ)</t>
  </si>
  <si>
    <t>(8) โครงการย่อย : การเชิญอาจารย์และผู้เชี่ยวชาญชาวต่างประเทศมาสอนและบรรยายพิเศษ (120,000บาท) (รองคณบดีฝ่ายวิจัยและวิเทศสัมพันธ์)</t>
  </si>
  <si>
    <t xml:space="preserve"> 020500000003</t>
  </si>
  <si>
    <t xml:space="preserve"> - ค่าตอบแทนผู้ปฏิบัติงานให้ราชการ (อัตรา 5,600บาท/คนx8คนx12เดือน)</t>
  </si>
  <si>
    <t>(2.4) ค่าสาธารณูปโภค (ค่าโทรศัพท์ อัตรา 1,200บาท/เดือนx12เดือน)</t>
  </si>
  <si>
    <t xml:space="preserve"> - ค่าตอบแทนวิทยากร  (อัตรา 600บาท/ชั่วโมงx6ชั่วโมงx2วัน)</t>
  </si>
  <si>
    <t xml:space="preserve"> - ค่าอาหารว่างและเครื่องดื่ม (อัตรา 25บาท/คนx45คนx4มื้อ</t>
  </si>
  <si>
    <t xml:space="preserve"> - ค่าอาหาร (อัตรา 150บาท/คนx45คนx2วัน)</t>
  </si>
  <si>
    <t xml:space="preserve"> - ค่าพาหนะ (เครื่องบิน 8,000บาท/คน x2คน)</t>
  </si>
  <si>
    <t xml:space="preserve"> - ค่าที่พัก (อัตรา 1,200บาท/ห้องx2ห้องx2คืน)</t>
  </si>
  <si>
    <t xml:space="preserve"> - ค่าจ้างเหมาทำเอกสาร/จัดทำสื่อโสตทัศนูปกรณ์/สถานที่</t>
  </si>
  <si>
    <t xml:space="preserve"> - ค่าเบี้ยเลี้ยง (อัตรา 240บาท/วันx50คน)</t>
  </si>
  <si>
    <t xml:space="preserve"> - ค่าที่พัก (อัตรา 500บาท/คืนx50คน)</t>
  </si>
  <si>
    <t xml:space="preserve"> - ค่าพาหนะ (อัตรา 1,600บาท/คนx50คน)</t>
  </si>
  <si>
    <t xml:space="preserve"> - ค่าลงทะเบียน (อัตราเฉลี่ย 1,000บาท/คน x 50คน)</t>
  </si>
  <si>
    <t xml:space="preserve"> - ค่าทำการอาหารนอกเวลา (อัตรา 200บาทx50วัน)</t>
  </si>
  <si>
    <t xml:space="preserve"> - ค่าตอบแทนผู้ปฏิบัติงานให้ราชการ (อัตรา 1,000บาท/คนx50คน)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</si>
</sst>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\(0\)"/>
    <numFmt numFmtId="189" formatCode="_(* #,##0.00_);_(* \(#,##0.00\);_(* &quot;-&quot;??_);_(@_)"/>
  </numFmts>
  <fonts count="13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2"/>
      <name val="Angsana New"/>
      <family val="1"/>
    </font>
    <font>
      <sz val="11"/>
      <name val="Tahoma"/>
      <family val="2"/>
      <charset val="222"/>
      <scheme val="minor"/>
    </font>
    <font>
      <sz val="14"/>
      <name val="AngsanaUPC"/>
      <family val="1"/>
      <charset val="222"/>
    </font>
    <font>
      <sz val="10"/>
      <name val="Angsana New"/>
      <family val="1"/>
    </font>
    <font>
      <b/>
      <sz val="22"/>
      <name val="Angsana New"/>
      <family val="1"/>
    </font>
    <font>
      <sz val="16"/>
      <name val="Angsana New"/>
      <family val="1"/>
    </font>
    <font>
      <b/>
      <u/>
      <sz val="18"/>
      <name val="Angsana New"/>
      <family val="1"/>
    </font>
    <font>
      <sz val="18"/>
      <name val="Angsana New"/>
      <family val="1"/>
    </font>
    <font>
      <b/>
      <u/>
      <sz val="16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b/>
      <u val="singleAccounting"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u val="singleAccounting"/>
      <sz val="14"/>
      <name val="Angsana New"/>
      <family val="1"/>
    </font>
    <font>
      <b/>
      <u val="singleAccounting"/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sz val="14"/>
      <color indexed="10"/>
      <name val="Angsana New"/>
      <family val="1"/>
    </font>
    <font>
      <sz val="14"/>
      <color rgb="FF000099"/>
      <name val="Angsana New"/>
      <family val="1"/>
    </font>
    <font>
      <sz val="13"/>
      <color rgb="FF000099"/>
      <name val="Angsana New"/>
      <family val="1"/>
    </font>
    <font>
      <sz val="12"/>
      <color rgb="FF000099"/>
      <name val="Angsana New"/>
      <family val="1"/>
    </font>
    <font>
      <i/>
      <sz val="14"/>
      <color rgb="FF000099"/>
      <name val="Angsana New"/>
      <family val="1"/>
    </font>
    <font>
      <sz val="14"/>
      <color rgb="FF040E5C"/>
      <name val="Angsana New"/>
      <family val="1"/>
    </font>
    <font>
      <sz val="12"/>
      <color rgb="FF040E5C"/>
      <name val="Angsana New"/>
      <family val="1"/>
    </font>
    <font>
      <sz val="14"/>
      <color rgb="FF1B0B55"/>
      <name val="Angsana New"/>
      <family val="1"/>
    </font>
    <font>
      <b/>
      <sz val="14"/>
      <color rgb="FF1B0B55"/>
      <name val="Angsana New"/>
      <family val="1"/>
    </font>
    <font>
      <sz val="13"/>
      <color rgb="FF1B0B55"/>
      <name val="Angsana New"/>
      <family val="1"/>
    </font>
    <font>
      <b/>
      <sz val="14"/>
      <color rgb="FF000099"/>
      <name val="Angsana New"/>
      <family val="1"/>
    </font>
    <font>
      <sz val="13"/>
      <color rgb="FFFF0000"/>
      <name val="Angsana New"/>
      <family val="1"/>
    </font>
    <font>
      <sz val="14"/>
      <color indexed="18"/>
      <name val="Angsana New"/>
      <family val="1"/>
    </font>
    <font>
      <sz val="12"/>
      <color indexed="18"/>
      <name val="Angsana New"/>
      <family val="1"/>
    </font>
    <font>
      <sz val="13"/>
      <name val="Angsana New"/>
      <family val="1"/>
    </font>
    <font>
      <sz val="14"/>
      <color rgb="FF002060"/>
      <name val="Angsana New"/>
      <family val="1"/>
    </font>
    <font>
      <sz val="13"/>
      <color rgb="FF002060"/>
      <name val="Angsana New"/>
      <family val="1"/>
    </font>
    <font>
      <b/>
      <u/>
      <sz val="14"/>
      <color indexed="56"/>
      <name val="Angsana New"/>
      <family val="1"/>
    </font>
    <font>
      <sz val="13"/>
      <color rgb="FF040E5C"/>
      <name val="Angsana New"/>
      <family val="1"/>
    </font>
    <font>
      <sz val="11"/>
      <name val="Angsana New"/>
      <family val="1"/>
    </font>
    <font>
      <b/>
      <u/>
      <sz val="22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u val="singleAccounting"/>
      <sz val="14"/>
      <color rgb="FF000099"/>
      <name val="Angsana New"/>
      <family val="1"/>
    </font>
    <font>
      <b/>
      <sz val="14"/>
      <color indexed="10"/>
      <name val="Angsana New"/>
      <family val="1"/>
    </font>
    <font>
      <sz val="13"/>
      <color indexed="18"/>
      <name val="Angsana New"/>
      <family val="1"/>
    </font>
    <font>
      <b/>
      <u val="singleAccounting"/>
      <sz val="16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3"/>
      <name val="Angsana New"/>
      <family val="1"/>
    </font>
    <font>
      <sz val="11"/>
      <color rgb="FF000099"/>
      <name val="Angsana New"/>
      <family val="1"/>
    </font>
    <font>
      <sz val="10"/>
      <color rgb="FF000099"/>
      <name val="Angsana New"/>
      <family val="1"/>
    </font>
    <font>
      <sz val="10"/>
      <color rgb="FF040E5C"/>
      <name val="Angsana New"/>
      <family val="1"/>
    </font>
    <font>
      <b/>
      <sz val="10"/>
      <color rgb="FF000099"/>
      <name val="Angsana New"/>
      <family val="1"/>
    </font>
    <font>
      <b/>
      <sz val="12"/>
      <name val="Angsana New"/>
      <family val="1"/>
    </font>
    <font>
      <sz val="12"/>
      <color rgb="FF002060"/>
      <name val="Angsana New"/>
      <family val="1"/>
    </font>
    <font>
      <b/>
      <sz val="16"/>
      <color theme="0"/>
      <name val="Angsana New"/>
      <family val="1"/>
    </font>
    <font>
      <b/>
      <u val="singleAccounting"/>
      <sz val="16"/>
      <color theme="0"/>
      <name val="Angsana New"/>
      <family val="1"/>
    </font>
    <font>
      <sz val="16"/>
      <color theme="0"/>
      <name val="Angsana New"/>
      <family val="1"/>
    </font>
    <font>
      <sz val="14"/>
      <color theme="0"/>
      <name val="Angsana New"/>
      <family val="1"/>
    </font>
    <font>
      <b/>
      <sz val="14"/>
      <color rgb="FF040E5C"/>
      <name val="Angsana New"/>
      <family val="1"/>
    </font>
    <font>
      <sz val="14"/>
      <color rgb="FF1B035D"/>
      <name val="Angsana New"/>
      <family val="1"/>
    </font>
    <font>
      <sz val="14"/>
      <color rgb="FF003399"/>
      <name val="Angsana New"/>
      <family val="1"/>
    </font>
    <font>
      <sz val="16"/>
      <color rgb="FF003399"/>
      <name val="Angsana New"/>
      <family val="1"/>
    </font>
    <font>
      <b/>
      <sz val="14"/>
      <color rgb="FF003399"/>
      <name val="Angsana New"/>
      <family val="1"/>
    </font>
    <font>
      <b/>
      <sz val="12"/>
      <color rgb="FF003399"/>
      <name val="Angsana New"/>
      <family val="1"/>
    </font>
    <font>
      <b/>
      <u val="singleAccounting"/>
      <sz val="14"/>
      <color rgb="FF003399"/>
      <name val="Angsana New"/>
      <family val="1"/>
    </font>
    <font>
      <sz val="13"/>
      <color rgb="FF003399"/>
      <name val="Angsana New"/>
      <family val="1"/>
    </font>
    <font>
      <sz val="12"/>
      <color rgb="FF003399"/>
      <name val="Angsana New"/>
      <family val="1"/>
    </font>
    <font>
      <b/>
      <u/>
      <sz val="14"/>
      <color rgb="FF003399"/>
      <name val="Angsana New"/>
      <family val="1"/>
    </font>
    <font>
      <sz val="11"/>
      <color rgb="FF003399"/>
      <name val="Angsana New"/>
      <family val="1"/>
    </font>
    <font>
      <b/>
      <sz val="11"/>
      <name val="Angsana New"/>
      <family val="1"/>
    </font>
    <font>
      <b/>
      <sz val="16"/>
      <color rgb="FF003399"/>
      <name val="Angsana New"/>
      <family val="1"/>
    </font>
    <font>
      <sz val="14"/>
      <name val="Tahoma"/>
      <family val="2"/>
      <charset val="222"/>
      <scheme val="minor"/>
    </font>
    <font>
      <b/>
      <sz val="13"/>
      <color rgb="FFFF0000"/>
      <name val="Angsana New"/>
      <family val="1"/>
    </font>
    <font>
      <sz val="12"/>
      <color rgb="FFFF0000"/>
      <name val="Angsana New"/>
      <family val="1"/>
    </font>
    <font>
      <u val="singleAccounting"/>
      <sz val="14"/>
      <name val="Angsana New"/>
      <family val="1"/>
    </font>
    <font>
      <sz val="12"/>
      <color indexed="8"/>
      <name val="Angsana New"/>
      <family val="1"/>
    </font>
    <font>
      <b/>
      <sz val="12"/>
      <color rgb="FFFF0000"/>
      <name val="Angsana New"/>
      <family val="1"/>
    </font>
    <font>
      <b/>
      <sz val="12"/>
      <color rgb="FF000099"/>
      <name val="Angsana New"/>
      <family val="1"/>
    </font>
    <font>
      <b/>
      <u/>
      <sz val="12"/>
      <color rgb="FFFF0000"/>
      <name val="Angsana New"/>
      <family val="1"/>
    </font>
    <font>
      <b/>
      <u val="singleAccounting"/>
      <sz val="12"/>
      <color rgb="FFFF0000"/>
      <name val="Angsana New"/>
      <family val="1"/>
    </font>
    <font>
      <sz val="12"/>
      <color theme="1"/>
      <name val="Angsana New"/>
      <family val="1"/>
    </font>
    <font>
      <b/>
      <u/>
      <sz val="12"/>
      <name val="Angsana New"/>
      <family val="1"/>
    </font>
    <font>
      <u val="singleAccounting"/>
      <sz val="12"/>
      <name val="Angsana New"/>
      <family val="1"/>
    </font>
    <font>
      <b/>
      <sz val="10"/>
      <name val="Angsana New"/>
      <family val="1"/>
    </font>
    <font>
      <sz val="12"/>
      <color rgb="FF1B035D"/>
      <name val="Angsana New"/>
      <family val="1"/>
    </font>
    <font>
      <b/>
      <sz val="15"/>
      <name val="Angsana New"/>
      <family val="1"/>
    </font>
    <font>
      <b/>
      <u val="doubleAccounting"/>
      <sz val="14"/>
      <name val="Angsana New"/>
      <family val="1"/>
    </font>
    <font>
      <sz val="16"/>
      <color theme="1"/>
      <name val="AngsanaUPC"/>
      <family val="1"/>
      <charset val="222"/>
    </font>
    <font>
      <b/>
      <u/>
      <sz val="16"/>
      <color theme="1"/>
      <name val="AngsanaUPC"/>
      <family val="1"/>
      <charset val="222"/>
    </font>
    <font>
      <b/>
      <u val="singleAccounting"/>
      <sz val="12"/>
      <color rgb="FF000099"/>
      <name val="Angsana New"/>
      <family val="1"/>
    </font>
    <font>
      <i/>
      <sz val="14"/>
      <color rgb="FFFF0000"/>
      <name val="Angsana New"/>
      <family val="1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rgb="FFFF0000"/>
      <name val="TH SarabunPSK"/>
      <family val="2"/>
    </font>
    <font>
      <i/>
      <sz val="16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4"/>
      <color indexed="10"/>
      <name val="TH SarabunPSK"/>
      <family val="2"/>
    </font>
    <font>
      <b/>
      <sz val="16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3"/>
      <color rgb="FFC00000"/>
      <name val="TH SarabunPSK"/>
      <family val="2"/>
    </font>
    <font>
      <sz val="14"/>
      <color rgb="FFC00000"/>
      <name val="TH SarabunPSK"/>
      <family val="2"/>
    </font>
    <font>
      <b/>
      <sz val="16"/>
      <color theme="0" tint="-4.9989318521683403E-2"/>
      <name val="TH SarabunPSK"/>
      <family val="2"/>
    </font>
    <font>
      <sz val="14"/>
      <color theme="0" tint="-4.9989318521683403E-2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3"/>
      <color theme="1"/>
      <name val="Times New Roman"/>
      <family val="1"/>
    </font>
    <font>
      <b/>
      <sz val="12"/>
      <name val="TH SarabunPSK"/>
      <family val="2"/>
    </font>
    <font>
      <b/>
      <sz val="16"/>
      <color theme="3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3"/>
      <name val="TH SarabunPSK"/>
      <family val="2"/>
    </font>
    <font>
      <sz val="14"/>
      <color rgb="FF0000CC"/>
      <name val="TH SarabunPSK"/>
      <family val="2"/>
    </font>
    <font>
      <sz val="12"/>
      <color rgb="FF0000CC"/>
      <name val="TH SarabunPSK"/>
      <family val="2"/>
    </font>
    <font>
      <sz val="14"/>
      <color rgb="FF0033CC"/>
      <name val="TH SarabunPSK"/>
      <family val="2"/>
    </font>
    <font>
      <sz val="12"/>
      <color rgb="FF0033CC"/>
      <name val="TH SarabunPSK"/>
      <family val="2"/>
    </font>
    <font>
      <sz val="14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</cellStyleXfs>
  <cellXfs count="1414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quotePrefix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vertical="top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3" fontId="6" fillId="0" borderId="10" xfId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187" fontId="4" fillId="0" borderId="10" xfId="1" applyNumberFormat="1" applyFont="1" applyFill="1" applyBorder="1" applyAlignment="1">
      <alignment vertical="top"/>
    </xf>
    <xf numFmtId="49" fontId="16" fillId="0" borderId="4" xfId="0" applyNumberFormat="1" applyFont="1" applyFill="1" applyBorder="1" applyAlignment="1">
      <alignment horizontal="center" vertical="top"/>
    </xf>
    <xf numFmtId="187" fontId="17" fillId="0" borderId="4" xfId="0" applyNumberFormat="1" applyFont="1" applyFill="1" applyBorder="1" applyAlignment="1">
      <alignment horizontal="center" vertical="top"/>
    </xf>
    <xf numFmtId="49" fontId="18" fillId="0" borderId="4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87" fontId="4" fillId="0" borderId="10" xfId="1" applyNumberFormat="1" applyFont="1" applyFill="1" applyBorder="1" applyAlignment="1">
      <alignment vertical="top" wrapText="1"/>
    </xf>
    <xf numFmtId="187" fontId="19" fillId="0" borderId="10" xfId="1" applyNumberFormat="1" applyFont="1" applyFill="1" applyBorder="1" applyAlignment="1">
      <alignment vertical="top" wrapText="1"/>
    </xf>
    <xf numFmtId="187" fontId="20" fillId="0" borderId="10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top" wrapText="1"/>
    </xf>
    <xf numFmtId="187" fontId="21" fillId="0" borderId="9" xfId="1" applyNumberFormat="1" applyFont="1" applyFill="1" applyBorder="1" applyAlignment="1">
      <alignment vertical="top" wrapText="1"/>
    </xf>
    <xf numFmtId="187" fontId="21" fillId="0" borderId="10" xfId="1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187" fontId="3" fillId="0" borderId="9" xfId="1" applyNumberFormat="1" applyFont="1" applyFill="1" applyBorder="1" applyAlignment="1">
      <alignment horizontal="left" vertical="top" wrapText="1"/>
    </xf>
    <xf numFmtId="187" fontId="23" fillId="0" borderId="10" xfId="1" applyNumberFormat="1" applyFont="1" applyFill="1" applyBorder="1" applyAlignment="1">
      <alignment vertical="top" wrapText="1"/>
    </xf>
    <xf numFmtId="187" fontId="23" fillId="0" borderId="9" xfId="1" applyNumberFormat="1" applyFont="1" applyFill="1" applyBorder="1" applyAlignment="1">
      <alignment horizontal="left" vertical="top" wrapText="1"/>
    </xf>
    <xf numFmtId="187" fontId="23" fillId="0" borderId="9" xfId="1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49" fontId="23" fillId="0" borderId="6" xfId="0" applyNumberFormat="1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187" fontId="3" fillId="0" borderId="9" xfId="1" applyNumberFormat="1" applyFont="1" applyFill="1" applyBorder="1" applyAlignment="1">
      <alignment horizontal="left" vertical="top"/>
    </xf>
    <xf numFmtId="187" fontId="23" fillId="0" borderId="10" xfId="1" applyNumberFormat="1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49" fontId="23" fillId="0" borderId="9" xfId="0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 wrapText="1"/>
    </xf>
    <xf numFmtId="49" fontId="23" fillId="0" borderId="9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187" fontId="3" fillId="0" borderId="9" xfId="1" applyNumberFormat="1" applyFont="1" applyFill="1" applyBorder="1" applyAlignment="1">
      <alignment horizontal="center" vertical="top" wrapText="1"/>
    </xf>
    <xf numFmtId="187" fontId="3" fillId="0" borderId="10" xfId="1" applyNumberFormat="1" applyFont="1" applyFill="1" applyBorder="1" applyAlignment="1">
      <alignment vertical="top" wrapText="1"/>
    </xf>
    <xf numFmtId="49" fontId="23" fillId="0" borderId="6" xfId="0" applyNumberFormat="1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left" vertical="top" wrapText="1"/>
    </xf>
    <xf numFmtId="49" fontId="23" fillId="0" borderId="9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187" fontId="23" fillId="0" borderId="10" xfId="1" applyNumberFormat="1" applyFont="1" applyFill="1" applyBorder="1" applyAlignment="1">
      <alignment horizontal="left" vertical="top" wrapText="1"/>
    </xf>
    <xf numFmtId="187" fontId="3" fillId="0" borderId="10" xfId="1" applyNumberFormat="1" applyFont="1" applyFill="1" applyBorder="1" applyAlignment="1">
      <alignment horizontal="left" vertical="top" wrapText="1"/>
    </xf>
    <xf numFmtId="187" fontId="3" fillId="0" borderId="10" xfId="1" applyNumberFormat="1" applyFont="1" applyFill="1" applyBorder="1" applyAlignment="1">
      <alignment horizontal="center" vertical="top" wrapText="1"/>
    </xf>
    <xf numFmtId="187" fontId="23" fillId="0" borderId="10" xfId="1" applyNumberFormat="1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center" vertical="top" wrapText="1"/>
    </xf>
    <xf numFmtId="49" fontId="23" fillId="0" borderId="6" xfId="0" applyNumberFormat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87" fontId="23" fillId="0" borderId="6" xfId="1" applyNumberFormat="1" applyFont="1" applyFill="1" applyBorder="1" applyAlignment="1">
      <alignment horizontal="left" vertical="top" wrapText="1"/>
    </xf>
    <xf numFmtId="187" fontId="23" fillId="0" borderId="6" xfId="1" applyNumberFormat="1" applyFont="1" applyFill="1" applyBorder="1" applyAlignment="1">
      <alignment horizontal="center" vertical="top" wrapText="1"/>
    </xf>
    <xf numFmtId="187" fontId="23" fillId="0" borderId="2" xfId="1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43" fontId="23" fillId="0" borderId="10" xfId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2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9" xfId="1" applyNumberFormat="1" applyFont="1" applyFill="1" applyBorder="1" applyAlignment="1">
      <alignment vertical="top" wrapText="1"/>
    </xf>
    <xf numFmtId="43" fontId="23" fillId="0" borderId="9" xfId="1" applyFont="1" applyFill="1" applyBorder="1" applyAlignment="1">
      <alignment vertical="top" wrapText="1"/>
    </xf>
    <xf numFmtId="187" fontId="23" fillId="0" borderId="9" xfId="1" applyNumberFormat="1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 vertical="top" wrapText="1"/>
    </xf>
    <xf numFmtId="49" fontId="27" fillId="0" borderId="2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187" fontId="27" fillId="0" borderId="10" xfId="1" applyNumberFormat="1" applyFont="1" applyFill="1" applyBorder="1" applyAlignment="1">
      <alignment horizontal="left" vertical="top" wrapText="1"/>
    </xf>
    <xf numFmtId="187" fontId="27" fillId="0" borderId="10" xfId="1" applyNumberFormat="1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29" fillId="0" borderId="9" xfId="0" applyNumberFormat="1" applyFont="1" applyFill="1" applyBorder="1" applyAlignment="1">
      <alignment horizontal="center" vertical="top" wrapText="1"/>
    </xf>
    <xf numFmtId="0" fontId="30" fillId="0" borderId="9" xfId="0" applyFont="1" applyFill="1" applyBorder="1" applyAlignment="1">
      <alignment vertical="top" wrapText="1"/>
    </xf>
    <xf numFmtId="187" fontId="31" fillId="0" borderId="10" xfId="1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187" fontId="29" fillId="0" borderId="10" xfId="1" applyNumberFormat="1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49" fontId="32" fillId="0" borderId="2" xfId="0" applyNumberFormat="1" applyFont="1" applyFill="1" applyBorder="1" applyAlignment="1">
      <alignment horizontal="center" vertical="top" wrapText="1"/>
    </xf>
    <xf numFmtId="0" fontId="32" fillId="0" borderId="9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49" fontId="32" fillId="0" borderId="9" xfId="0" applyNumberFormat="1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187" fontId="32" fillId="0" borderId="9" xfId="1" applyNumberFormat="1" applyFont="1" applyFill="1" applyBorder="1" applyAlignment="1">
      <alignment horizontal="left" vertical="top" wrapText="1"/>
    </xf>
    <xf numFmtId="187" fontId="32" fillId="0" borderId="9" xfId="1" applyNumberFormat="1" applyFont="1" applyFill="1" applyBorder="1" applyAlignment="1">
      <alignment horizontal="center" vertical="top" wrapText="1"/>
    </xf>
    <xf numFmtId="187" fontId="21" fillId="0" borderId="9" xfId="1" applyNumberFormat="1" applyFont="1" applyFill="1" applyBorder="1" applyAlignment="1">
      <alignment horizontal="center" vertical="top" wrapText="1"/>
    </xf>
    <xf numFmtId="187" fontId="32" fillId="0" borderId="10" xfId="1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87" fontId="5" fillId="0" borderId="9" xfId="1" applyNumberFormat="1" applyFont="1" applyFill="1" applyBorder="1" applyAlignment="1">
      <alignment horizontal="left" vertical="top" wrapText="1"/>
    </xf>
    <xf numFmtId="187" fontId="5" fillId="0" borderId="10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87" fontId="5" fillId="0" borderId="10" xfId="1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top"/>
    </xf>
    <xf numFmtId="187" fontId="15" fillId="0" borderId="10" xfId="1" applyNumberFormat="1" applyFont="1" applyFill="1" applyBorder="1" applyAlignment="1">
      <alignment vertical="top" wrapText="1"/>
    </xf>
    <xf numFmtId="187" fontId="11" fillId="0" borderId="10" xfId="1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49" fontId="15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87" fontId="5" fillId="0" borderId="9" xfId="1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/>
    </xf>
    <xf numFmtId="187" fontId="17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36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87" fontId="3" fillId="0" borderId="2" xfId="1" applyNumberFormat="1" applyFont="1" applyFill="1" applyBorder="1" applyAlignment="1">
      <alignment horizontal="left" vertical="top" wrapText="1"/>
    </xf>
    <xf numFmtId="187" fontId="3" fillId="0" borderId="2" xfId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87" fontId="3" fillId="0" borderId="2" xfId="1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87" fontId="4" fillId="0" borderId="10" xfId="1" applyNumberFormat="1" applyFont="1" applyFill="1" applyBorder="1" applyAlignment="1">
      <alignment horizontal="left" vertical="top" wrapText="1"/>
    </xf>
    <xf numFmtId="187" fontId="19" fillId="0" borderId="10" xfId="1" applyNumberFormat="1" applyFont="1" applyFill="1" applyBorder="1" applyAlignment="1">
      <alignment horizontal="left" vertical="top" wrapText="1"/>
    </xf>
    <xf numFmtId="187" fontId="19" fillId="0" borderId="10" xfId="1" applyNumberFormat="1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horizontal="left" vertical="top" wrapText="1"/>
    </xf>
    <xf numFmtId="187" fontId="3" fillId="0" borderId="6" xfId="1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37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4" xfId="0" applyFont="1" applyFill="1" applyBorder="1" applyAlignment="1">
      <alignment vertical="top" wrapText="1"/>
    </xf>
    <xf numFmtId="187" fontId="37" fillId="0" borderId="1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center" vertical="top" wrapText="1"/>
    </xf>
    <xf numFmtId="187" fontId="37" fillId="0" borderId="10" xfId="1" applyNumberFormat="1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49" fontId="37" fillId="0" borderId="6" xfId="0" applyNumberFormat="1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49" fontId="37" fillId="0" borderId="9" xfId="0" applyNumberFormat="1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vertical="top"/>
    </xf>
    <xf numFmtId="0" fontId="37" fillId="0" borderId="4" xfId="0" applyFont="1" applyFill="1" applyBorder="1" applyAlignment="1">
      <alignment vertical="top"/>
    </xf>
    <xf numFmtId="187" fontId="37" fillId="0" borderId="10" xfId="1" applyNumberFormat="1" applyFont="1" applyFill="1" applyBorder="1" applyAlignment="1">
      <alignment vertical="top"/>
    </xf>
    <xf numFmtId="43" fontId="37" fillId="0" borderId="10" xfId="1" applyFont="1" applyFill="1" applyBorder="1" applyAlignment="1">
      <alignment vertical="top" wrapText="1"/>
    </xf>
    <xf numFmtId="49" fontId="37" fillId="0" borderId="9" xfId="0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0" fontId="37" fillId="0" borderId="0" xfId="0" applyFont="1" applyFill="1" applyAlignment="1">
      <alignment vertical="top"/>
    </xf>
    <xf numFmtId="0" fontId="27" fillId="0" borderId="10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49" fontId="27" fillId="0" borderId="9" xfId="0" applyNumberFormat="1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1" fillId="0" borderId="9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87" fontId="37" fillId="0" borderId="9" xfId="1" applyNumberFormat="1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left" vertical="top"/>
    </xf>
    <xf numFmtId="0" fontId="25" fillId="0" borderId="4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vertical="top" wrapText="1"/>
    </xf>
    <xf numFmtId="187" fontId="23" fillId="0" borderId="10" xfId="0" applyNumberFormat="1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2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187" fontId="4" fillId="0" borderId="9" xfId="1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49" fontId="42" fillId="0" borderId="8" xfId="0" applyNumberFormat="1" applyFont="1" applyFill="1" applyBorder="1" applyAlignment="1">
      <alignment horizontal="left" vertical="center"/>
    </xf>
    <xf numFmtId="49" fontId="43" fillId="0" borderId="4" xfId="0" applyNumberFormat="1" applyFont="1" applyFill="1" applyBorder="1" applyAlignment="1">
      <alignment horizontal="center" vertical="top"/>
    </xf>
    <xf numFmtId="49" fontId="43" fillId="0" borderId="4" xfId="0" applyNumberFormat="1" applyFont="1" applyFill="1" applyBorder="1" applyAlignment="1">
      <alignment horizontal="center" vertical="center"/>
    </xf>
    <xf numFmtId="187" fontId="44" fillId="0" borderId="10" xfId="1" applyNumberFormat="1" applyFont="1" applyFill="1" applyBorder="1" applyAlignment="1">
      <alignment vertical="top"/>
    </xf>
    <xf numFmtId="49" fontId="43" fillId="0" borderId="5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187" fontId="18" fillId="0" borderId="10" xfId="1" applyNumberFormat="1" applyFont="1" applyFill="1" applyBorder="1" applyAlignment="1">
      <alignment vertical="top" wrapText="1"/>
    </xf>
    <xf numFmtId="0" fontId="32" fillId="0" borderId="2" xfId="0" applyFont="1" applyFill="1" applyBorder="1" applyAlignment="1">
      <alignment horizontal="center" vertical="top" wrapText="1"/>
    </xf>
    <xf numFmtId="187" fontId="45" fillId="0" borderId="10" xfId="1" applyNumberFormat="1" applyFont="1" applyFill="1" applyBorder="1" applyAlignment="1">
      <alignment vertical="top" wrapText="1"/>
    </xf>
    <xf numFmtId="187" fontId="10" fillId="0" borderId="10" xfId="1" applyNumberFormat="1" applyFont="1" applyFill="1" applyBorder="1" applyAlignment="1">
      <alignment vertical="top"/>
    </xf>
    <xf numFmtId="0" fontId="32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vertical="top" wrapText="1"/>
    </xf>
    <xf numFmtId="187" fontId="14" fillId="0" borderId="10" xfId="1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/>
    </xf>
    <xf numFmtId="187" fontId="23" fillId="0" borderId="2" xfId="1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87" fontId="48" fillId="0" borderId="10" xfId="1" applyNumberFormat="1" applyFont="1" applyFill="1" applyBorder="1" applyAlignment="1">
      <alignment vertical="top" wrapText="1"/>
    </xf>
    <xf numFmtId="0" fontId="33" fillId="0" borderId="9" xfId="0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187" fontId="3" fillId="0" borderId="10" xfId="1" applyNumberFormat="1" applyFont="1" applyFill="1" applyBorder="1" applyAlignment="1">
      <alignment horizontal="center" vertical="center" wrapText="1"/>
    </xf>
    <xf numFmtId="187" fontId="4" fillId="0" borderId="10" xfId="1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7" fontId="3" fillId="0" borderId="11" xfId="1" applyNumberFormat="1" applyFont="1" applyFill="1" applyBorder="1" applyAlignment="1">
      <alignment horizontal="center" vertical="center" wrapText="1"/>
    </xf>
    <xf numFmtId="187" fontId="4" fillId="0" borderId="11" xfId="1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/>
    <xf numFmtId="187" fontId="3" fillId="0" borderId="0" xfId="1" applyNumberFormat="1" applyFont="1" applyFill="1" applyBorder="1" applyAlignment="1">
      <alignment horizontal="center" vertical="top" wrapText="1"/>
    </xf>
    <xf numFmtId="187" fontId="3" fillId="0" borderId="0" xfId="1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50" fillId="0" borderId="10" xfId="0" applyFont="1" applyFill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2" xfId="0" applyFont="1" applyFill="1" applyBorder="1" applyAlignment="1">
      <alignment horizontal="left" vertical="top" wrapText="1"/>
    </xf>
    <xf numFmtId="0" fontId="51" fillId="0" borderId="2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left" vertical="top" wrapText="1"/>
    </xf>
    <xf numFmtId="0" fontId="53" fillId="0" borderId="2" xfId="0" applyFont="1" applyFill="1" applyBorder="1" applyAlignment="1">
      <alignment horizontal="left" vertical="top" wrapText="1"/>
    </xf>
    <xf numFmtId="0" fontId="54" fillId="0" borderId="2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9" xfId="0" applyFont="1" applyFill="1" applyBorder="1" applyAlignment="1">
      <alignment horizontal="left" vertical="top" wrapText="1"/>
    </xf>
    <xf numFmtId="0" fontId="51" fillId="0" borderId="9" xfId="0" applyFont="1" applyFill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6" fillId="0" borderId="2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6" xfId="0" applyFont="1" applyFill="1" applyBorder="1" applyAlignment="1">
      <alignment vertical="top" wrapText="1"/>
    </xf>
    <xf numFmtId="0" fontId="56" fillId="0" borderId="9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/>
    </xf>
    <xf numFmtId="0" fontId="52" fillId="0" borderId="9" xfId="0" applyFont="1" applyFill="1" applyBorder="1" applyAlignment="1">
      <alignment horizontal="left" vertical="top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13" xfId="1" applyNumberFormat="1" applyFont="1" applyFill="1" applyBorder="1" applyAlignment="1">
      <alignment horizontal="center" vertical="top" wrapText="1"/>
    </xf>
    <xf numFmtId="0" fontId="7" fillId="0" borderId="13" xfId="0" applyFont="1" applyFill="1" applyBorder="1"/>
    <xf numFmtId="187" fontId="3" fillId="0" borderId="14" xfId="1" applyNumberFormat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left" vertical="top" wrapText="1"/>
    </xf>
    <xf numFmtId="187" fontId="3" fillId="0" borderId="15" xfId="1" applyNumberFormat="1" applyFont="1" applyFill="1" applyBorder="1" applyAlignment="1">
      <alignment horizontal="center" vertical="top" wrapText="1"/>
    </xf>
    <xf numFmtId="187" fontId="3" fillId="0" borderId="16" xfId="1" applyNumberFormat="1" applyFont="1" applyFill="1" applyBorder="1" applyAlignment="1">
      <alignment horizontal="left" vertical="top" wrapText="1"/>
    </xf>
    <xf numFmtId="187" fontId="3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/>
    <xf numFmtId="187" fontId="3" fillId="0" borderId="17" xfId="1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87" fontId="5" fillId="0" borderId="0" xfId="1" applyNumberFormat="1" applyFont="1" applyFill="1" applyBorder="1" applyAlignment="1">
      <alignment horizontal="left" vertical="top" wrapText="1"/>
    </xf>
    <xf numFmtId="187" fontId="5" fillId="0" borderId="0" xfId="1" applyNumberFormat="1" applyFont="1" applyFill="1" applyBorder="1" applyAlignment="1">
      <alignment horizontal="center" vertical="top" wrapText="1"/>
    </xf>
    <xf numFmtId="187" fontId="5" fillId="0" borderId="0" xfId="1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horizontal="center" vertical="top"/>
    </xf>
    <xf numFmtId="49" fontId="57" fillId="0" borderId="4" xfId="0" applyNumberFormat="1" applyFont="1" applyFill="1" applyBorder="1" applyAlignment="1">
      <alignment horizontal="center" vertical="top"/>
    </xf>
    <xf numFmtId="187" fontId="58" fillId="0" borderId="4" xfId="0" applyNumberFormat="1" applyFont="1" applyFill="1" applyBorder="1" applyAlignment="1">
      <alignment horizontal="center" vertical="top"/>
    </xf>
    <xf numFmtId="49" fontId="59" fillId="0" borderId="4" xfId="0" applyNumberFormat="1" applyFont="1" applyFill="1" applyBorder="1" applyAlignment="1">
      <alignment horizontal="left" vertical="center"/>
    </xf>
    <xf numFmtId="49" fontId="59" fillId="0" borderId="4" xfId="0" applyNumberFormat="1" applyFont="1" applyFill="1" applyBorder="1" applyAlignment="1">
      <alignment horizontal="center" vertical="center"/>
    </xf>
    <xf numFmtId="49" fontId="60" fillId="0" borderId="4" xfId="0" applyNumberFormat="1" applyFont="1" applyFill="1" applyBorder="1" applyAlignment="1">
      <alignment horizontal="center" vertical="center"/>
    </xf>
    <xf numFmtId="187" fontId="44" fillId="0" borderId="4" xfId="1" applyNumberFormat="1" applyFont="1" applyFill="1" applyBorder="1" applyAlignment="1">
      <alignment vertical="top"/>
    </xf>
    <xf numFmtId="187" fontId="2" fillId="0" borderId="4" xfId="1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left" vertical="top"/>
    </xf>
    <xf numFmtId="187" fontId="61" fillId="0" borderId="10" xfId="1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 indent="2"/>
    </xf>
    <xf numFmtId="0" fontId="52" fillId="0" borderId="6" xfId="0" applyFont="1" applyFill="1" applyBorder="1" applyAlignment="1">
      <alignment horizontal="left" vertical="top" wrapText="1"/>
    </xf>
    <xf numFmtId="49" fontId="15" fillId="0" borderId="8" xfId="0" applyNumberFormat="1" applyFont="1" applyFill="1" applyBorder="1" applyAlignment="1">
      <alignment horizontal="left" vertical="center"/>
    </xf>
    <xf numFmtId="187" fontId="15" fillId="0" borderId="4" xfId="1" applyNumberFormat="1" applyFont="1" applyFill="1" applyBorder="1" applyAlignment="1">
      <alignment vertical="top" wrapText="1"/>
    </xf>
    <xf numFmtId="187" fontId="11" fillId="0" borderId="4" xfId="1" applyNumberFormat="1" applyFont="1" applyFill="1" applyBorder="1" applyAlignment="1">
      <alignment vertical="top" wrapText="1"/>
    </xf>
    <xf numFmtId="187" fontId="11" fillId="0" borderId="5" xfId="1" applyNumberFormat="1" applyFont="1" applyFill="1" applyBorder="1" applyAlignment="1">
      <alignment vertical="top" wrapText="1"/>
    </xf>
    <xf numFmtId="0" fontId="55" fillId="0" borderId="9" xfId="0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horizontal="center" vertical="center"/>
    </xf>
    <xf numFmtId="187" fontId="16" fillId="0" borderId="4" xfId="1" applyNumberFormat="1" applyFont="1" applyFill="1" applyBorder="1" applyAlignment="1">
      <alignment vertical="top" wrapText="1"/>
    </xf>
    <xf numFmtId="187" fontId="15" fillId="0" borderId="5" xfId="1" applyNumberFormat="1" applyFont="1" applyFill="1" applyBorder="1" applyAlignment="1">
      <alignment vertical="top" wrapText="1"/>
    </xf>
    <xf numFmtId="187" fontId="10" fillId="0" borderId="4" xfId="1" applyNumberFormat="1" applyFont="1" applyFill="1" applyBorder="1" applyAlignment="1">
      <alignment vertical="top"/>
    </xf>
    <xf numFmtId="187" fontId="32" fillId="0" borderId="10" xfId="1" applyNumberFormat="1" applyFont="1" applyFill="1" applyBorder="1" applyAlignment="1">
      <alignment horizontal="left" vertical="top" wrapText="1"/>
    </xf>
    <xf numFmtId="187" fontId="4" fillId="0" borderId="10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87" fontId="3" fillId="0" borderId="0" xfId="1" applyNumberFormat="1" applyFont="1" applyFill="1" applyBorder="1" applyAlignment="1">
      <alignment horizontal="center" vertical="center" wrapText="1"/>
    </xf>
    <xf numFmtId="187" fontId="4" fillId="0" borderId="0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50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0" fillId="0" borderId="9" xfId="0" applyFont="1" applyFill="1" applyBorder="1" applyAlignment="1">
      <alignment horizontal="left" vertical="top" wrapText="1"/>
    </xf>
    <xf numFmtId="49" fontId="15" fillId="0" borderId="8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187" fontId="3" fillId="0" borderId="13" xfId="1" applyNumberFormat="1" applyFont="1" applyFill="1" applyBorder="1" applyAlignment="1">
      <alignment vertical="top" wrapText="1"/>
    </xf>
    <xf numFmtId="187" fontId="3" fillId="0" borderId="14" xfId="1" applyNumberFormat="1" applyFont="1" applyFill="1" applyBorder="1" applyAlignment="1">
      <alignment vertical="top" wrapText="1"/>
    </xf>
    <xf numFmtId="187" fontId="3" fillId="0" borderId="15" xfId="1" applyNumberFormat="1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187" fontId="3" fillId="0" borderId="17" xfId="1" applyNumberFormat="1" applyFont="1" applyFill="1" applyBorder="1" applyAlignment="1">
      <alignment vertical="top" wrapText="1"/>
    </xf>
    <xf numFmtId="187" fontId="3" fillId="0" borderId="4" xfId="1" applyNumberFormat="1" applyFont="1" applyFill="1" applyBorder="1" applyAlignment="1">
      <alignment vertical="top" wrapText="1"/>
    </xf>
    <xf numFmtId="187" fontId="3" fillId="0" borderId="5" xfId="1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187" fontId="4" fillId="0" borderId="9" xfId="1" applyNumberFormat="1" applyFont="1" applyFill="1" applyBorder="1" applyAlignment="1">
      <alignment vertical="top" wrapText="1"/>
    </xf>
    <xf numFmtId="0" fontId="63" fillId="0" borderId="9" xfId="0" applyFont="1" applyFill="1" applyBorder="1" applyAlignment="1">
      <alignment horizontal="left" vertical="top" wrapText="1"/>
    </xf>
    <xf numFmtId="187" fontId="64" fillId="0" borderId="4" xfId="1" applyNumberFormat="1" applyFont="1" applyFill="1" applyBorder="1" applyAlignment="1">
      <alignment vertical="top" wrapText="1"/>
    </xf>
    <xf numFmtId="49" fontId="65" fillId="0" borderId="6" xfId="0" applyNumberFormat="1" applyFont="1" applyFill="1" applyBorder="1" applyAlignment="1">
      <alignment horizontal="center" vertical="top" wrapText="1"/>
    </xf>
    <xf numFmtId="0" fontId="66" fillId="0" borderId="6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vertical="top" wrapText="1"/>
    </xf>
    <xf numFmtId="0" fontId="65" fillId="0" borderId="4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vertical="top" wrapText="1"/>
    </xf>
    <xf numFmtId="187" fontId="65" fillId="0" borderId="10" xfId="1" applyNumberFormat="1" applyFont="1" applyFill="1" applyBorder="1" applyAlignment="1">
      <alignment vertical="top" wrapText="1"/>
    </xf>
    <xf numFmtId="187" fontId="67" fillId="0" borderId="10" xfId="1" applyNumberFormat="1" applyFont="1" applyFill="1" applyBorder="1" applyAlignment="1">
      <alignment vertical="top" wrapText="1"/>
    </xf>
    <xf numFmtId="49" fontId="63" fillId="0" borderId="6" xfId="0" applyNumberFormat="1" applyFont="1" applyFill="1" applyBorder="1" applyAlignment="1">
      <alignment horizontal="center" vertical="top" wrapText="1"/>
    </xf>
    <xf numFmtId="0" fontId="63" fillId="0" borderId="6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left" vertical="top" wrapText="1" indent="1"/>
    </xf>
    <xf numFmtId="0" fontId="63" fillId="0" borderId="10" xfId="0" applyFont="1" applyFill="1" applyBorder="1" applyAlignment="1">
      <alignment vertical="top" wrapText="1"/>
    </xf>
    <xf numFmtId="0" fontId="63" fillId="0" borderId="4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187" fontId="63" fillId="0" borderId="10" xfId="1" applyNumberFormat="1" applyFont="1" applyFill="1" applyBorder="1" applyAlignment="1">
      <alignment vertical="top" wrapText="1"/>
    </xf>
    <xf numFmtId="187" fontId="63" fillId="0" borderId="10" xfId="1" applyNumberFormat="1" applyFont="1" applyFill="1" applyBorder="1" applyAlignment="1">
      <alignment horizontal="center" vertical="top" wrapText="1"/>
    </xf>
    <xf numFmtId="49" fontId="65" fillId="0" borderId="9" xfId="0" applyNumberFormat="1" applyFont="1" applyFill="1" applyBorder="1" applyAlignment="1">
      <alignment horizontal="center" vertical="top" wrapText="1"/>
    </xf>
    <xf numFmtId="0" fontId="65" fillId="0" borderId="9" xfId="0" applyFont="1" applyFill="1" applyBorder="1" applyAlignment="1">
      <alignment vertical="top" wrapText="1"/>
    </xf>
    <xf numFmtId="49" fontId="63" fillId="0" borderId="2" xfId="0" applyNumberFormat="1" applyFont="1" applyFill="1" applyBorder="1" applyAlignment="1">
      <alignment horizontal="center" vertical="top" wrapText="1"/>
    </xf>
    <xf numFmtId="0" fontId="69" fillId="0" borderId="2" xfId="0" applyFont="1" applyFill="1" applyBorder="1" applyAlignment="1">
      <alignment vertical="top" wrapText="1"/>
    </xf>
    <xf numFmtId="187" fontId="63" fillId="0" borderId="10" xfId="0" applyNumberFormat="1" applyFont="1" applyFill="1" applyBorder="1" applyAlignment="1">
      <alignment vertical="top" wrapText="1"/>
    </xf>
    <xf numFmtId="187" fontId="63" fillId="0" borderId="9" xfId="1" applyNumberFormat="1" applyFont="1" applyFill="1" applyBorder="1" applyAlignment="1">
      <alignment horizontal="left" vertical="top" wrapText="1"/>
    </xf>
    <xf numFmtId="0" fontId="63" fillId="0" borderId="0" xfId="0" applyFont="1" applyFill="1" applyAlignment="1">
      <alignment vertical="top" wrapText="1"/>
    </xf>
    <xf numFmtId="0" fontId="63" fillId="0" borderId="2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vertical="top"/>
    </xf>
    <xf numFmtId="0" fontId="63" fillId="0" borderId="10" xfId="0" applyFont="1" applyFill="1" applyBorder="1" applyAlignment="1">
      <alignment vertical="top"/>
    </xf>
    <xf numFmtId="0" fontId="63" fillId="0" borderId="4" xfId="0" applyFont="1" applyFill="1" applyBorder="1" applyAlignment="1">
      <alignment vertical="top"/>
    </xf>
    <xf numFmtId="187" fontId="63" fillId="0" borderId="10" xfId="1" applyNumberFormat="1" applyFont="1" applyFill="1" applyBorder="1" applyAlignment="1">
      <alignment vertical="top"/>
    </xf>
    <xf numFmtId="43" fontId="63" fillId="0" borderId="10" xfId="1" applyFont="1" applyFill="1" applyBorder="1" applyAlignment="1">
      <alignment vertical="top" wrapText="1"/>
    </xf>
    <xf numFmtId="0" fontId="63" fillId="0" borderId="2" xfId="0" applyFont="1" applyFill="1" applyBorder="1" applyAlignment="1">
      <alignment horizontal="left" vertical="top" wrapText="1"/>
    </xf>
    <xf numFmtId="0" fontId="71" fillId="0" borderId="9" xfId="0" applyFont="1" applyFill="1" applyBorder="1" applyAlignment="1">
      <alignment horizontal="left" vertical="top" wrapText="1"/>
    </xf>
    <xf numFmtId="49" fontId="63" fillId="0" borderId="9" xfId="0" applyNumberFormat="1" applyFont="1" applyFill="1" applyBorder="1" applyAlignment="1">
      <alignment horizontal="left" vertical="top" wrapText="1"/>
    </xf>
    <xf numFmtId="49" fontId="63" fillId="0" borderId="6" xfId="0" applyNumberFormat="1" applyFont="1" applyFill="1" applyBorder="1" applyAlignment="1">
      <alignment horizontal="left" vertical="top" wrapText="1"/>
    </xf>
    <xf numFmtId="0" fontId="63" fillId="0" borderId="2" xfId="0" applyFont="1" applyFill="1" applyBorder="1" applyAlignment="1">
      <alignment horizontal="center" vertical="top" wrapText="1"/>
    </xf>
    <xf numFmtId="187" fontId="63" fillId="0" borderId="9" xfId="1" applyNumberFormat="1" applyFont="1" applyFill="1" applyBorder="1" applyAlignment="1">
      <alignment horizontal="center" vertical="top" wrapText="1"/>
    </xf>
    <xf numFmtId="0" fontId="63" fillId="0" borderId="9" xfId="0" applyFont="1" applyFill="1" applyBorder="1" applyAlignment="1">
      <alignment horizontal="center" vertical="top" wrapText="1"/>
    </xf>
    <xf numFmtId="0" fontId="63" fillId="0" borderId="1" xfId="0" applyFont="1" applyFill="1" applyBorder="1" applyAlignment="1">
      <alignment horizontal="left" vertical="top" wrapText="1"/>
    </xf>
    <xf numFmtId="0" fontId="71" fillId="0" borderId="2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0" fontId="69" fillId="0" borderId="9" xfId="0" applyFont="1" applyFill="1" applyBorder="1" applyAlignment="1">
      <alignment horizontal="left" vertical="top" wrapText="1"/>
    </xf>
    <xf numFmtId="0" fontId="69" fillId="0" borderId="4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left" vertical="top" wrapText="1"/>
    </xf>
    <xf numFmtId="187" fontId="63" fillId="0" borderId="10" xfId="1" applyNumberFormat="1" applyFont="1" applyFill="1" applyBorder="1" applyAlignment="1">
      <alignment horizontal="left" vertical="top" wrapText="1"/>
    </xf>
    <xf numFmtId="0" fontId="69" fillId="0" borderId="2" xfId="0" applyFont="1" applyFill="1" applyBorder="1" applyAlignment="1">
      <alignment horizontal="left" vertical="top" wrapText="1"/>
    </xf>
    <xf numFmtId="0" fontId="69" fillId="0" borderId="1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left" vertical="top" wrapText="1"/>
    </xf>
    <xf numFmtId="0" fontId="65" fillId="0" borderId="4" xfId="0" applyFont="1" applyFill="1" applyBorder="1" applyAlignment="1">
      <alignment horizontal="left" vertical="top" wrapText="1"/>
    </xf>
    <xf numFmtId="49" fontId="65" fillId="0" borderId="10" xfId="0" applyNumberFormat="1" applyFont="1" applyFill="1" applyBorder="1" applyAlignment="1">
      <alignment horizontal="left" vertical="top" wrapText="1"/>
    </xf>
    <xf numFmtId="187" fontId="65" fillId="0" borderId="10" xfId="1" applyNumberFormat="1" applyFont="1" applyFill="1" applyBorder="1" applyAlignment="1">
      <alignment horizontal="left" vertical="top" wrapText="1"/>
    </xf>
    <xf numFmtId="0" fontId="65" fillId="0" borderId="9" xfId="0" applyFont="1" applyFill="1" applyBorder="1" applyAlignment="1">
      <alignment horizontal="left" vertical="top" wrapText="1"/>
    </xf>
    <xf numFmtId="0" fontId="65" fillId="0" borderId="1" xfId="0" applyFont="1" applyFill="1" applyBorder="1" applyAlignment="1">
      <alignment horizontal="left" vertical="top" wrapText="1"/>
    </xf>
    <xf numFmtId="49" fontId="65" fillId="0" borderId="9" xfId="0" applyNumberFormat="1" applyFont="1" applyFill="1" applyBorder="1" applyAlignment="1">
      <alignment horizontal="left" vertical="top" wrapText="1"/>
    </xf>
    <xf numFmtId="49" fontId="65" fillId="0" borderId="6" xfId="0" applyNumberFormat="1" applyFont="1" applyFill="1" applyBorder="1" applyAlignment="1">
      <alignment horizontal="left" vertical="top" wrapText="1"/>
    </xf>
    <xf numFmtId="0" fontId="65" fillId="0" borderId="6" xfId="0" applyFont="1" applyFill="1" applyBorder="1" applyAlignment="1">
      <alignment horizontal="center" vertical="top" wrapText="1"/>
    </xf>
    <xf numFmtId="187" fontId="65" fillId="0" borderId="9" xfId="1" applyNumberFormat="1" applyFont="1" applyFill="1" applyBorder="1" applyAlignment="1">
      <alignment horizontal="left" vertical="top" wrapText="1"/>
    </xf>
    <xf numFmtId="187" fontId="63" fillId="0" borderId="9" xfId="1" applyNumberFormat="1" applyFont="1" applyFill="1" applyBorder="1" applyAlignment="1">
      <alignment vertical="top" wrapText="1"/>
    </xf>
    <xf numFmtId="0" fontId="65" fillId="0" borderId="9" xfId="0" applyFont="1" applyFill="1" applyBorder="1" applyAlignment="1">
      <alignment horizontal="center" vertical="top" wrapText="1"/>
    </xf>
    <xf numFmtId="0" fontId="72" fillId="0" borderId="9" xfId="0" applyFont="1" applyFill="1" applyBorder="1" applyAlignment="1">
      <alignment horizontal="left" vertical="top" wrapText="1"/>
    </xf>
    <xf numFmtId="187" fontId="4" fillId="0" borderId="9" xfId="1" applyNumberFormat="1" applyFont="1" applyFill="1" applyBorder="1" applyAlignment="1">
      <alignment horizontal="center" vertical="top" wrapText="1"/>
    </xf>
    <xf numFmtId="0" fontId="55" fillId="0" borderId="9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187" fontId="4" fillId="0" borderId="2" xfId="1" applyNumberFormat="1" applyFont="1" applyFill="1" applyBorder="1" applyAlignment="1">
      <alignment horizontal="left" vertical="top" wrapText="1"/>
    </xf>
    <xf numFmtId="187" fontId="11" fillId="0" borderId="4" xfId="1" applyNumberFormat="1" applyFont="1" applyFill="1" applyBorder="1" applyAlignment="1">
      <alignment horizontal="center" vertical="center" wrapText="1"/>
    </xf>
    <xf numFmtId="187" fontId="27" fillId="0" borderId="9" xfId="1" applyNumberFormat="1" applyFont="1" applyFill="1" applyBorder="1" applyAlignment="1">
      <alignment horizontal="left" vertical="top" wrapText="1"/>
    </xf>
    <xf numFmtId="187" fontId="24" fillId="0" borderId="10" xfId="1" applyNumberFormat="1" applyFont="1" applyFill="1" applyBorder="1" applyAlignment="1">
      <alignment horizontal="left" vertical="top" wrapText="1" indent="2"/>
    </xf>
    <xf numFmtId="187" fontId="34" fillId="0" borderId="9" xfId="1" applyNumberFormat="1" applyFont="1" applyFill="1" applyBorder="1" applyAlignment="1">
      <alignment horizontal="left" vertical="top" wrapText="1"/>
    </xf>
    <xf numFmtId="187" fontId="2" fillId="0" borderId="4" xfId="1" applyNumberFormat="1" applyFont="1" applyFill="1" applyBorder="1" applyAlignment="1">
      <alignment horizontal="center" vertical="center"/>
    </xf>
    <xf numFmtId="187" fontId="4" fillId="0" borderId="2" xfId="1" applyNumberFormat="1" applyFont="1" applyFill="1" applyBorder="1" applyAlignment="1">
      <alignment vertical="top" wrapText="1"/>
    </xf>
    <xf numFmtId="187" fontId="13" fillId="0" borderId="5" xfId="1" applyNumberFormat="1" applyFont="1" applyFill="1" applyBorder="1" applyAlignment="1">
      <alignment horizontal="center" vertical="center"/>
    </xf>
    <xf numFmtId="187" fontId="11" fillId="0" borderId="10" xfId="1" applyNumberFormat="1" applyFont="1" applyFill="1" applyBorder="1" applyAlignment="1">
      <alignment horizontal="center" vertical="center"/>
    </xf>
    <xf numFmtId="187" fontId="15" fillId="0" borderId="10" xfId="1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top"/>
    </xf>
    <xf numFmtId="187" fontId="63" fillId="0" borderId="9" xfId="1" applyNumberFormat="1" applyFont="1" applyFill="1" applyBorder="1" applyAlignment="1">
      <alignment horizontal="left" vertical="top"/>
    </xf>
    <xf numFmtId="0" fontId="63" fillId="0" borderId="0" xfId="0" applyFont="1" applyFill="1" applyAlignment="1">
      <alignment vertical="top"/>
    </xf>
    <xf numFmtId="49" fontId="63" fillId="0" borderId="10" xfId="0" applyNumberFormat="1" applyFont="1" applyFill="1" applyBorder="1" applyAlignment="1">
      <alignment horizontal="center" vertical="top" wrapText="1"/>
    </xf>
    <xf numFmtId="49" fontId="63" fillId="0" borderId="10" xfId="0" applyNumberFormat="1" applyFont="1" applyFill="1" applyBorder="1" applyAlignment="1">
      <alignment horizontal="center" vertical="top"/>
    </xf>
    <xf numFmtId="187" fontId="43" fillId="0" borderId="5" xfId="1" applyNumberFormat="1" applyFont="1" applyFill="1" applyBorder="1" applyAlignment="1">
      <alignment horizontal="center" vertical="center"/>
    </xf>
    <xf numFmtId="49" fontId="73" fillId="0" borderId="8" xfId="0" applyNumberFormat="1" applyFont="1" applyFill="1" applyBorder="1" applyAlignment="1">
      <alignment horizontal="left" vertical="center"/>
    </xf>
    <xf numFmtId="49" fontId="64" fillId="0" borderId="4" xfId="0" applyNumberFormat="1" applyFont="1" applyFill="1" applyBorder="1" applyAlignment="1">
      <alignment horizontal="center" vertical="top"/>
    </xf>
    <xf numFmtId="49" fontId="64" fillId="0" borderId="4" xfId="0" applyNumberFormat="1" applyFont="1" applyFill="1" applyBorder="1" applyAlignment="1">
      <alignment horizontal="center" vertical="center"/>
    </xf>
    <xf numFmtId="187" fontId="4" fillId="0" borderId="10" xfId="1" applyNumberFormat="1" applyFont="1" applyFill="1" applyBorder="1" applyAlignment="1">
      <alignment horizontal="right" vertical="top" wrapText="1"/>
    </xf>
    <xf numFmtId="49" fontId="43" fillId="0" borderId="8" xfId="0" applyNumberFormat="1" applyFont="1" applyFill="1" applyBorder="1" applyAlignment="1">
      <alignment horizontal="center" vertical="top"/>
    </xf>
    <xf numFmtId="187" fontId="73" fillId="0" borderId="10" xfId="1" applyNumberFormat="1" applyFont="1" applyFill="1" applyBorder="1" applyAlignment="1">
      <alignment horizontal="center" vertical="center"/>
    </xf>
    <xf numFmtId="187" fontId="21" fillId="0" borderId="9" xfId="1" applyNumberFormat="1" applyFont="1" applyFill="1" applyBorder="1" applyAlignment="1">
      <alignment horizontal="left" vertical="top" wrapText="1"/>
    </xf>
    <xf numFmtId="187" fontId="21" fillId="0" borderId="10" xfId="1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Fill="1" applyBorder="1"/>
    <xf numFmtId="0" fontId="6" fillId="0" borderId="1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187" fontId="15" fillId="0" borderId="11" xfId="1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top" wrapText="1" indent="1"/>
    </xf>
    <xf numFmtId="0" fontId="21" fillId="0" borderId="10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187" fontId="19" fillId="0" borderId="0" xfId="1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187" fontId="77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87" fontId="15" fillId="0" borderId="4" xfId="1" applyNumberFormat="1" applyFont="1" applyFill="1" applyBorder="1" applyAlignment="1">
      <alignment vertical="top"/>
    </xf>
    <xf numFmtId="187" fontId="72" fillId="0" borderId="4" xfId="1" applyNumberFormat="1" applyFont="1" applyFill="1" applyBorder="1" applyAlignment="1">
      <alignment vertical="top"/>
    </xf>
    <xf numFmtId="187" fontId="6" fillId="0" borderId="10" xfId="1" applyNumberFormat="1" applyFont="1" applyFill="1" applyBorder="1" applyAlignment="1">
      <alignment vertical="top" wrapText="1"/>
    </xf>
    <xf numFmtId="187" fontId="6" fillId="0" borderId="9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187" fontId="25" fillId="0" borderId="9" xfId="1" applyNumberFormat="1" applyFont="1" applyFill="1" applyBorder="1" applyAlignment="1">
      <alignment horizontal="left" vertical="top" wrapText="1"/>
    </xf>
    <xf numFmtId="187" fontId="25" fillId="0" borderId="9" xfId="1" applyNumberFormat="1" applyFont="1" applyFill="1" applyBorder="1" applyAlignment="1">
      <alignment horizontal="center" vertical="top" wrapText="1"/>
    </xf>
    <xf numFmtId="187" fontId="25" fillId="0" borderId="10" xfId="1" applyNumberFormat="1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187" fontId="6" fillId="0" borderId="9" xfId="1" applyNumberFormat="1" applyFont="1" applyFill="1" applyBorder="1" applyAlignment="1">
      <alignment horizontal="left" vertical="top" wrapText="1"/>
    </xf>
    <xf numFmtId="187" fontId="6" fillId="0" borderId="9" xfId="1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3" fontId="25" fillId="0" borderId="10" xfId="1" applyFont="1" applyFill="1" applyBorder="1" applyAlignment="1">
      <alignment vertical="top" wrapText="1"/>
    </xf>
    <xf numFmtId="187" fontId="25" fillId="0" borderId="10" xfId="1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43" fontId="25" fillId="0" borderId="9" xfId="1" applyFont="1" applyFill="1" applyBorder="1" applyAlignment="1">
      <alignment vertical="top" wrapText="1"/>
    </xf>
    <xf numFmtId="187" fontId="25" fillId="0" borderId="9" xfId="1" applyNumberFormat="1" applyFont="1" applyFill="1" applyBorder="1" applyAlignment="1">
      <alignment vertical="top" wrapText="1"/>
    </xf>
    <xf numFmtId="187" fontId="23" fillId="0" borderId="6" xfId="1" applyNumberFormat="1" applyFont="1" applyFill="1" applyBorder="1" applyAlignment="1">
      <alignment vertical="top" wrapText="1"/>
    </xf>
    <xf numFmtId="187" fontId="32" fillId="0" borderId="6" xfId="1" applyNumberFormat="1" applyFont="1" applyFill="1" applyBorder="1" applyAlignment="1">
      <alignment horizontal="left" vertical="top" wrapText="1"/>
    </xf>
    <xf numFmtId="187" fontId="32" fillId="0" borderId="6" xfId="1" applyNumberFormat="1" applyFont="1" applyFill="1" applyBorder="1" applyAlignment="1">
      <alignment horizontal="center" vertical="top" wrapText="1"/>
    </xf>
    <xf numFmtId="187" fontId="21" fillId="0" borderId="6" xfId="1" applyNumberFormat="1" applyFont="1" applyFill="1" applyBorder="1" applyAlignment="1">
      <alignment horizontal="center" vertical="top" wrapText="1"/>
    </xf>
    <xf numFmtId="187" fontId="32" fillId="0" borderId="2" xfId="1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87" fontId="25" fillId="0" borderId="10" xfId="1" applyNumberFormat="1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187" fontId="76" fillId="0" borderId="10" xfId="1" applyNumberFormat="1" applyFont="1" applyFill="1" applyBorder="1" applyAlignment="1">
      <alignment horizontal="center" vertical="top" wrapText="1"/>
    </xf>
    <xf numFmtId="0" fontId="66" fillId="0" borderId="6" xfId="0" applyFont="1" applyFill="1" applyBorder="1" applyAlignment="1">
      <alignment horizontal="center" vertical="top" wrapText="1"/>
    </xf>
    <xf numFmtId="187" fontId="69" fillId="0" borderId="10" xfId="1" applyNumberFormat="1" applyFont="1" applyFill="1" applyBorder="1" applyAlignment="1">
      <alignment vertical="top" wrapText="1"/>
    </xf>
    <xf numFmtId="0" fontId="63" fillId="0" borderId="9" xfId="0" applyFont="1" applyFill="1" applyBorder="1" applyAlignment="1">
      <alignment vertical="top" wrapText="1"/>
    </xf>
    <xf numFmtId="187" fontId="65" fillId="0" borderId="9" xfId="1" applyNumberFormat="1" applyFont="1" applyFill="1" applyBorder="1" applyAlignment="1">
      <alignment vertical="top" wrapText="1"/>
    </xf>
    <xf numFmtId="187" fontId="67" fillId="0" borderId="9" xfId="1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7" fontId="67" fillId="0" borderId="6" xfId="1" applyNumberFormat="1" applyFont="1" applyFill="1" applyBorder="1" applyAlignment="1">
      <alignment vertical="top" wrapText="1"/>
    </xf>
    <xf numFmtId="187" fontId="65" fillId="0" borderId="6" xfId="1" applyNumberFormat="1" applyFont="1" applyFill="1" applyBorder="1" applyAlignment="1">
      <alignment vertical="top" wrapText="1"/>
    </xf>
    <xf numFmtId="187" fontId="63" fillId="0" borderId="6" xfId="1" applyNumberFormat="1" applyFont="1" applyFill="1" applyBorder="1" applyAlignment="1">
      <alignment vertical="top" wrapText="1"/>
    </xf>
    <xf numFmtId="187" fontId="69" fillId="0" borderId="6" xfId="1" applyNumberFormat="1" applyFont="1" applyFill="1" applyBorder="1" applyAlignment="1">
      <alignment vertical="top" wrapText="1"/>
    </xf>
    <xf numFmtId="187" fontId="69" fillId="0" borderId="9" xfId="1" applyNumberFormat="1" applyFont="1" applyFill="1" applyBorder="1" applyAlignment="1">
      <alignment vertical="top" wrapText="1"/>
    </xf>
    <xf numFmtId="49" fontId="69" fillId="0" borderId="2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Border="1" applyAlignment="1">
      <alignment vertical="top" wrapText="1"/>
    </xf>
    <xf numFmtId="187" fontId="69" fillId="0" borderId="9" xfId="1" applyNumberFormat="1" applyFont="1" applyFill="1" applyBorder="1" applyAlignment="1">
      <alignment horizontal="left" vertical="top" wrapText="1"/>
    </xf>
    <xf numFmtId="187" fontId="66" fillId="0" borderId="10" xfId="1" applyNumberFormat="1" applyFont="1" applyFill="1" applyBorder="1" applyAlignment="1">
      <alignment vertical="top" wrapText="1"/>
    </xf>
    <xf numFmtId="0" fontId="69" fillId="0" borderId="0" xfId="0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69" fillId="0" borderId="2" xfId="0" applyNumberFormat="1" applyFont="1" applyFill="1" applyBorder="1" applyAlignment="1">
      <alignment vertical="top" wrapText="1"/>
    </xf>
    <xf numFmtId="0" fontId="69" fillId="0" borderId="10" xfId="0" applyNumberFormat="1" applyFont="1" applyFill="1" applyBorder="1" applyAlignment="1">
      <alignment vertical="top" wrapText="1"/>
    </xf>
    <xf numFmtId="0" fontId="69" fillId="0" borderId="10" xfId="1" applyNumberFormat="1" applyFont="1" applyFill="1" applyBorder="1" applyAlignment="1">
      <alignment vertical="top" wrapText="1"/>
    </xf>
    <xf numFmtId="0" fontId="69" fillId="0" borderId="9" xfId="1" applyNumberFormat="1" applyFont="1" applyFill="1" applyBorder="1" applyAlignment="1">
      <alignment vertical="top" wrapText="1"/>
    </xf>
    <xf numFmtId="0" fontId="69" fillId="0" borderId="0" xfId="0" applyNumberFormat="1" applyFont="1" applyFill="1" applyAlignment="1">
      <alignment vertical="top" wrapText="1"/>
    </xf>
    <xf numFmtId="187" fontId="69" fillId="0" borderId="9" xfId="1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left" vertical="top" wrapText="1"/>
    </xf>
    <xf numFmtId="187" fontId="69" fillId="0" borderId="10" xfId="1" applyNumberFormat="1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/>
    </xf>
    <xf numFmtId="187" fontId="66" fillId="0" borderId="10" xfId="1" applyNumberFormat="1" applyFont="1" applyFill="1" applyBorder="1" applyAlignment="1">
      <alignment horizontal="left" vertical="top" wrapText="1"/>
    </xf>
    <xf numFmtId="187" fontId="69" fillId="0" borderId="10" xfId="1" applyNumberFormat="1" applyFont="1" applyFill="1" applyBorder="1" applyAlignment="1">
      <alignment horizontal="center" vertical="top" wrapText="1"/>
    </xf>
    <xf numFmtId="49" fontId="69" fillId="0" borderId="6" xfId="0" applyNumberFormat="1" applyFont="1" applyFill="1" applyBorder="1" applyAlignment="1">
      <alignment horizontal="center" vertical="top" wrapText="1"/>
    </xf>
    <xf numFmtId="0" fontId="66" fillId="0" borderId="9" xfId="0" applyFont="1" applyFill="1" applyBorder="1" applyAlignment="1">
      <alignment horizontal="left" vertical="top" wrapText="1"/>
    </xf>
    <xf numFmtId="0" fontId="66" fillId="0" borderId="9" xfId="0" applyFont="1" applyFill="1" applyBorder="1" applyAlignment="1">
      <alignment horizontal="center" vertical="top" wrapText="1"/>
    </xf>
    <xf numFmtId="49" fontId="63" fillId="0" borderId="0" xfId="0" applyNumberFormat="1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vertical="top" wrapText="1"/>
    </xf>
    <xf numFmtId="187" fontId="63" fillId="0" borderId="0" xfId="1" applyNumberFormat="1" applyFont="1" applyFill="1" applyBorder="1" applyAlignment="1">
      <alignment vertical="top" wrapText="1"/>
    </xf>
    <xf numFmtId="187" fontId="63" fillId="0" borderId="0" xfId="1" applyNumberFormat="1" applyFont="1" applyFill="1" applyBorder="1" applyAlignment="1">
      <alignment horizontal="center" vertical="top" wrapText="1"/>
    </xf>
    <xf numFmtId="187" fontId="76" fillId="0" borderId="10" xfId="1" applyNumberFormat="1" applyFont="1" applyFill="1" applyBorder="1" applyAlignment="1">
      <alignment vertical="top" wrapText="1"/>
    </xf>
    <xf numFmtId="0" fontId="80" fillId="0" borderId="9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187" fontId="6" fillId="0" borderId="2" xfId="1" applyNumberFormat="1" applyFont="1" applyFill="1" applyBorder="1" applyAlignment="1">
      <alignment horizontal="center" vertical="top" wrapText="1"/>
    </xf>
    <xf numFmtId="187" fontId="76" fillId="0" borderId="9" xfId="1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87" fontId="4" fillId="0" borderId="2" xfId="1" applyNumberFormat="1" applyFont="1" applyFill="1" applyBorder="1" applyAlignment="1">
      <alignment horizontal="center" vertical="top" wrapText="1"/>
    </xf>
    <xf numFmtId="187" fontId="4" fillId="0" borderId="9" xfId="1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69" fillId="0" borderId="9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9" fillId="0" borderId="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1" applyNumberFormat="1" applyFont="1" applyFill="1" applyBorder="1" applyAlignment="1">
      <alignment horizontal="left" vertical="top" wrapText="1"/>
    </xf>
    <xf numFmtId="0" fontId="6" fillId="0" borderId="10" xfId="1" applyNumberFormat="1" applyFont="1" applyFill="1" applyBorder="1" applyAlignment="1">
      <alignment horizontal="left" vertical="top" wrapText="1"/>
    </xf>
    <xf numFmtId="0" fontId="6" fillId="0" borderId="10" xfId="1" applyNumberFormat="1" applyFont="1" applyFill="1" applyBorder="1" applyAlignment="1">
      <alignment horizontal="left" vertical="top"/>
    </xf>
    <xf numFmtId="0" fontId="6" fillId="0" borderId="10" xfId="1" applyNumberFormat="1" applyFont="1" applyFill="1" applyBorder="1" applyAlignment="1">
      <alignment horizontal="left" vertical="top" indent="2"/>
    </xf>
    <xf numFmtId="0" fontId="4" fillId="0" borderId="10" xfId="1" applyNumberFormat="1" applyFont="1" applyFill="1" applyBorder="1" applyAlignment="1">
      <alignment horizontal="left" vertical="top" wrapText="1"/>
    </xf>
    <xf numFmtId="187" fontId="6" fillId="0" borderId="10" xfId="1" applyNumberFormat="1" applyFont="1" applyFill="1" applyBorder="1" applyAlignment="1">
      <alignment vertical="top"/>
    </xf>
    <xf numFmtId="187" fontId="3" fillId="0" borderId="9" xfId="1" applyNumberFormat="1" applyFont="1" applyFill="1" applyBorder="1" applyAlignment="1">
      <alignment horizontal="center" vertical="top"/>
    </xf>
    <xf numFmtId="187" fontId="3" fillId="0" borderId="10" xfId="1" applyNumberFormat="1" applyFont="1" applyFill="1" applyBorder="1" applyAlignment="1">
      <alignment vertical="top"/>
    </xf>
    <xf numFmtId="187" fontId="6" fillId="0" borderId="10" xfId="1" applyNumberFormat="1" applyFont="1" applyFill="1" applyBorder="1" applyAlignment="1">
      <alignment horizontal="left" vertical="top" wrapText="1"/>
    </xf>
    <xf numFmtId="187" fontId="6" fillId="0" borderId="10" xfId="1" applyNumberFormat="1" applyFont="1" applyFill="1" applyBorder="1" applyAlignment="1">
      <alignment horizontal="center" vertical="top" wrapText="1"/>
    </xf>
    <xf numFmtId="187" fontId="55" fillId="0" borderId="10" xfId="1" applyNumberFormat="1" applyFont="1" applyFill="1" applyBorder="1" applyAlignment="1">
      <alignment vertical="top" wrapText="1"/>
    </xf>
    <xf numFmtId="0" fontId="6" fillId="0" borderId="10" xfId="1" applyNumberFormat="1" applyFont="1" applyBorder="1" applyAlignment="1">
      <alignment vertical="top" wrapText="1"/>
    </xf>
    <xf numFmtId="187" fontId="28" fillId="0" borderId="10" xfId="1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187" fontId="77" fillId="0" borderId="9" xfId="1" applyNumberFormat="1" applyFont="1" applyFill="1" applyBorder="1" applyAlignment="1">
      <alignment vertical="top" wrapText="1"/>
    </xf>
    <xf numFmtId="187" fontId="6" fillId="0" borderId="9" xfId="1" applyNumberFormat="1" applyFont="1" applyFill="1" applyBorder="1" applyAlignment="1">
      <alignment vertical="top"/>
    </xf>
    <xf numFmtId="187" fontId="3" fillId="0" borderId="9" xfId="1" applyNumberFormat="1" applyFont="1" applyFill="1" applyBorder="1" applyAlignment="1">
      <alignment vertical="top"/>
    </xf>
    <xf numFmtId="187" fontId="77" fillId="0" borderId="9" xfId="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71" fillId="0" borderId="6" xfId="0" applyFont="1" applyFill="1" applyBorder="1" applyAlignment="1">
      <alignment horizontal="left" vertical="top"/>
    </xf>
    <xf numFmtId="187" fontId="63" fillId="0" borderId="6" xfId="1" applyNumberFormat="1" applyFont="1" applyFill="1" applyBorder="1" applyAlignment="1">
      <alignment vertical="top"/>
    </xf>
    <xf numFmtId="187" fontId="69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6" fillId="0" borderId="6" xfId="0" applyFont="1" applyFill="1" applyBorder="1" applyAlignment="1">
      <alignment horizontal="left" vertical="top"/>
    </xf>
    <xf numFmtId="187" fontId="76" fillId="0" borderId="6" xfId="1" applyNumberFormat="1" applyFont="1" applyFill="1" applyBorder="1" applyAlignment="1">
      <alignment vertical="top"/>
    </xf>
    <xf numFmtId="187" fontId="21" fillId="0" borderId="6" xfId="1" applyNumberFormat="1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top"/>
    </xf>
    <xf numFmtId="49" fontId="15" fillId="0" borderId="1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5" fillId="0" borderId="2" xfId="0" applyFont="1" applyFill="1" applyBorder="1" applyAlignment="1">
      <alignment horizontal="center" vertical="top" wrapText="1"/>
    </xf>
    <xf numFmtId="0" fontId="55" fillId="0" borderId="6" xfId="0" applyFont="1" applyFill="1" applyBorder="1" applyAlignment="1">
      <alignment horizontal="center" vertical="top" wrapText="1"/>
    </xf>
    <xf numFmtId="0" fontId="55" fillId="0" borderId="9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49" fontId="25" fillId="0" borderId="6" xfId="0" applyNumberFormat="1" applyFont="1" applyFill="1" applyBorder="1" applyAlignment="1">
      <alignment horizontal="center" vertical="top" wrapText="1"/>
    </xf>
    <xf numFmtId="187" fontId="3" fillId="0" borderId="8" xfId="1" applyNumberFormat="1" applyFont="1" applyFill="1" applyBorder="1" applyAlignment="1">
      <alignment vertical="top" wrapText="1"/>
    </xf>
    <xf numFmtId="187" fontId="5" fillId="0" borderId="8" xfId="1" applyNumberFormat="1" applyFont="1" applyFill="1" applyBorder="1" applyAlignment="1">
      <alignment vertical="top" wrapText="1"/>
    </xf>
    <xf numFmtId="187" fontId="15" fillId="0" borderId="0" xfId="1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center" vertical="top" wrapText="1"/>
    </xf>
    <xf numFmtId="187" fontId="3" fillId="0" borderId="16" xfId="1" applyNumberFormat="1" applyFont="1" applyFill="1" applyBorder="1" applyAlignment="1">
      <alignment horizontal="center" vertical="top" wrapText="1"/>
    </xf>
    <xf numFmtId="187" fontId="15" fillId="0" borderId="10" xfId="1" applyNumberFormat="1" applyFont="1" applyFill="1" applyBorder="1" applyAlignment="1">
      <alignment vertical="top"/>
    </xf>
    <xf numFmtId="49" fontId="11" fillId="0" borderId="5" xfId="0" applyNumberFormat="1" applyFont="1" applyFill="1" applyBorder="1" applyAlignment="1">
      <alignment horizontal="center" vertical="center" wrapText="1"/>
    </xf>
    <xf numFmtId="187" fontId="4" fillId="0" borderId="5" xfId="1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>
      <alignment vertical="top"/>
    </xf>
    <xf numFmtId="0" fontId="23" fillId="0" borderId="10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vertical="top" wrapText="1"/>
    </xf>
    <xf numFmtId="0" fontId="78" fillId="0" borderId="9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25" fillId="0" borderId="9" xfId="0" applyNumberFormat="1" applyFont="1" applyFill="1" applyBorder="1" applyAlignment="1">
      <alignment vertical="top" wrapText="1"/>
    </xf>
    <xf numFmtId="0" fontId="25" fillId="0" borderId="1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vertical="top" wrapText="1"/>
    </xf>
    <xf numFmtId="0" fontId="76" fillId="0" borderId="9" xfId="0" applyNumberFormat="1" applyFont="1" applyBorder="1" applyAlignment="1">
      <alignment vertical="top" wrapText="1"/>
    </xf>
    <xf numFmtId="0" fontId="28" fillId="0" borderId="10" xfId="0" applyNumberFormat="1" applyFont="1" applyFill="1" applyBorder="1" applyAlignment="1">
      <alignment vertical="top" wrapText="1"/>
    </xf>
    <xf numFmtId="0" fontId="25" fillId="0" borderId="4" xfId="0" applyNumberFormat="1" applyFont="1" applyFill="1" applyBorder="1" applyAlignment="1">
      <alignment vertical="top" wrapText="1"/>
    </xf>
    <xf numFmtId="0" fontId="23" fillId="0" borderId="9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/>
    </xf>
    <xf numFmtId="0" fontId="23" fillId="0" borderId="1" xfId="0" applyNumberFormat="1" applyFont="1" applyFill="1" applyBorder="1" applyAlignment="1">
      <alignment vertical="top" wrapText="1"/>
    </xf>
    <xf numFmtId="0" fontId="65" fillId="0" borderId="9" xfId="0" applyNumberFormat="1" applyFont="1" applyFill="1" applyBorder="1" applyAlignment="1">
      <alignment vertical="top" wrapText="1"/>
    </xf>
    <xf numFmtId="0" fontId="65" fillId="0" borderId="1" xfId="0" applyNumberFormat="1" applyFont="1" applyFill="1" applyBorder="1" applyAlignment="1">
      <alignment vertical="top" wrapText="1"/>
    </xf>
    <xf numFmtId="0" fontId="6" fillId="0" borderId="6" xfId="0" applyNumberFormat="1" applyFont="1" applyBorder="1" applyAlignment="1">
      <alignment vertical="top" wrapText="1"/>
    </xf>
    <xf numFmtId="0" fontId="69" fillId="0" borderId="4" xfId="0" applyNumberFormat="1" applyFont="1" applyFill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6" fillId="0" borderId="19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vertical="top" wrapText="1"/>
    </xf>
    <xf numFmtId="0" fontId="69" fillId="0" borderId="1" xfId="0" applyNumberFormat="1" applyFont="1" applyFill="1" applyBorder="1" applyAlignment="1">
      <alignment vertical="top" wrapText="1"/>
    </xf>
    <xf numFmtId="0" fontId="6" fillId="2" borderId="19" xfId="0" applyNumberFormat="1" applyFont="1" applyFill="1" applyBorder="1" applyAlignment="1">
      <alignment vertical="top" wrapText="1"/>
    </xf>
    <xf numFmtId="0" fontId="6" fillId="0" borderId="2" xfId="0" applyNumberFormat="1" applyFont="1" applyBorder="1" applyAlignment="1">
      <alignment vertical="top" wrapText="1"/>
    </xf>
    <xf numFmtId="0" fontId="66" fillId="0" borderId="10" xfId="0" applyNumberFormat="1" applyFont="1" applyFill="1" applyBorder="1" applyAlignment="1">
      <alignment vertical="top" wrapText="1"/>
    </xf>
    <xf numFmtId="0" fontId="66" fillId="0" borderId="4" xfId="0" applyNumberFormat="1" applyFont="1" applyFill="1" applyBorder="1" applyAlignment="1">
      <alignment vertical="top" wrapText="1"/>
    </xf>
    <xf numFmtId="0" fontId="66" fillId="0" borderId="9" xfId="0" applyNumberFormat="1" applyFont="1" applyFill="1" applyBorder="1" applyAlignment="1">
      <alignment vertical="top" wrapText="1"/>
    </xf>
    <xf numFmtId="0" fontId="66" fillId="0" borderId="1" xfId="0" applyNumberFormat="1" applyFont="1" applyFill="1" applyBorder="1" applyAlignment="1">
      <alignment vertical="top" wrapText="1"/>
    </xf>
    <xf numFmtId="0" fontId="43" fillId="0" borderId="4" xfId="0" applyNumberFormat="1" applyFont="1" applyFill="1" applyBorder="1" applyAlignment="1">
      <alignment vertical="top"/>
    </xf>
    <xf numFmtId="0" fontId="15" fillId="0" borderId="4" xfId="0" applyNumberFormat="1" applyFont="1" applyFill="1" applyBorder="1" applyAlignment="1">
      <alignment vertical="top"/>
    </xf>
    <xf numFmtId="0" fontId="4" fillId="0" borderId="9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1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80" fillId="0" borderId="9" xfId="0" applyNumberFormat="1" applyFont="1" applyFill="1" applyBorder="1" applyAlignment="1">
      <alignment vertical="top" wrapText="1"/>
    </xf>
    <xf numFmtId="0" fontId="80" fillId="0" borderId="1" xfId="0" applyNumberFormat="1" applyFont="1" applyFill="1" applyBorder="1" applyAlignment="1">
      <alignment vertical="top" wrapText="1"/>
    </xf>
    <xf numFmtId="0" fontId="80" fillId="0" borderId="10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2" fillId="0" borderId="9" xfId="0" applyNumberFormat="1" applyFont="1" applyFill="1" applyBorder="1" applyAlignment="1">
      <alignment vertical="top" wrapText="1"/>
    </xf>
    <xf numFmtId="0" fontId="32" fillId="0" borderId="1" xfId="0" applyNumberFormat="1" applyFont="1" applyFill="1" applyBorder="1" applyAlignment="1">
      <alignment vertical="top" wrapText="1"/>
    </xf>
    <xf numFmtId="0" fontId="76" fillId="0" borderId="1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41" fillId="0" borderId="9" xfId="0" applyNumberFormat="1" applyFont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187" fontId="41" fillId="0" borderId="9" xfId="1" applyNumberFormat="1" applyFont="1" applyFill="1" applyBorder="1" applyAlignment="1">
      <alignment vertical="top"/>
    </xf>
    <xf numFmtId="0" fontId="41" fillId="0" borderId="9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6" fillId="0" borderId="9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 wrapText="1"/>
    </xf>
    <xf numFmtId="187" fontId="4" fillId="0" borderId="4" xfId="1" applyNumberFormat="1" applyFont="1" applyFill="1" applyBorder="1" applyAlignment="1">
      <alignment horizontal="left" vertical="top" wrapText="1"/>
    </xf>
    <xf numFmtId="187" fontId="4" fillId="0" borderId="4" xfId="1" applyNumberFormat="1" applyFont="1" applyFill="1" applyBorder="1" applyAlignment="1">
      <alignment horizontal="center" vertical="top" wrapText="1"/>
    </xf>
    <xf numFmtId="187" fontId="4" fillId="0" borderId="4" xfId="1" applyNumberFormat="1" applyFont="1" applyFill="1" applyBorder="1" applyAlignment="1">
      <alignment vertical="top" wrapText="1"/>
    </xf>
    <xf numFmtId="187" fontId="4" fillId="0" borderId="5" xfId="1" applyNumberFormat="1" applyFont="1" applyFill="1" applyBorder="1" applyAlignment="1">
      <alignment vertical="top" wrapText="1"/>
    </xf>
    <xf numFmtId="187" fontId="33" fillId="0" borderId="10" xfId="1" applyNumberFormat="1" applyFont="1" applyFill="1" applyBorder="1" applyAlignment="1">
      <alignment horizontal="left" vertical="top" wrapText="1"/>
    </xf>
    <xf numFmtId="187" fontId="33" fillId="0" borderId="10" xfId="1" applyNumberFormat="1" applyFont="1" applyFill="1" applyBorder="1" applyAlignment="1">
      <alignment vertical="top" wrapText="1"/>
    </xf>
    <xf numFmtId="187" fontId="55" fillId="0" borderId="10" xfId="1" applyNumberFormat="1" applyFont="1" applyFill="1" applyBorder="1" applyAlignment="1">
      <alignment horizontal="center" vertical="top" wrapText="1"/>
    </xf>
    <xf numFmtId="187" fontId="33" fillId="0" borderId="9" xfId="1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55" fillId="0" borderId="6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41" fillId="0" borderId="9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1" applyNumberFormat="1" applyFont="1" applyFill="1" applyBorder="1" applyAlignment="1">
      <alignment vertical="top" wrapText="1"/>
    </xf>
    <xf numFmtId="187" fontId="83" fillId="0" borderId="9" xfId="1" applyNumberFormat="1" applyFont="1" applyFill="1" applyBorder="1" applyAlignment="1">
      <alignment horizontal="left" vertical="top" wrapText="1"/>
    </xf>
    <xf numFmtId="187" fontId="83" fillId="0" borderId="10" xfId="1" applyNumberFormat="1" applyFont="1" applyFill="1" applyBorder="1" applyAlignment="1">
      <alignment horizontal="left" vertical="top" wrapText="1"/>
    </xf>
    <xf numFmtId="187" fontId="76" fillId="0" borderId="10" xfId="1" applyNumberFormat="1" applyFont="1" applyFill="1" applyBorder="1" applyAlignment="1">
      <alignment horizontal="left" vertical="top" wrapText="1"/>
    </xf>
    <xf numFmtId="187" fontId="6" fillId="0" borderId="6" xfId="1" applyNumberFormat="1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0" fontId="86" fillId="0" borderId="2" xfId="0" applyFont="1" applyFill="1" applyBorder="1" applyAlignment="1">
      <alignment horizontal="left" vertical="top" wrapText="1"/>
    </xf>
    <xf numFmtId="187" fontId="4" fillId="0" borderId="6" xfId="1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6" fillId="0" borderId="6" xfId="0" applyFont="1" applyFill="1" applyBorder="1" applyAlignment="1">
      <alignment horizontal="left" vertical="top" wrapText="1" indent="2"/>
    </xf>
    <xf numFmtId="0" fontId="36" fillId="0" borderId="6" xfId="0" applyFont="1" applyFill="1" applyBorder="1" applyAlignment="1">
      <alignment horizontal="left" vertical="top" wrapText="1"/>
    </xf>
    <xf numFmtId="187" fontId="3" fillId="0" borderId="6" xfId="1" applyNumberFormat="1" applyFont="1" applyFill="1" applyBorder="1" applyAlignment="1">
      <alignment vertical="top" wrapText="1"/>
    </xf>
    <xf numFmtId="0" fontId="36" fillId="0" borderId="9" xfId="0" applyFont="1" applyFill="1" applyBorder="1" applyAlignment="1">
      <alignment horizontal="left" vertical="top" wrapText="1" indent="2"/>
    </xf>
    <xf numFmtId="0" fontId="3" fillId="0" borderId="4" xfId="0" applyNumberFormat="1" applyFont="1" applyFill="1" applyBorder="1" applyAlignment="1">
      <alignment vertical="top" wrapText="1"/>
    </xf>
    <xf numFmtId="0" fontId="41" fillId="0" borderId="1" xfId="0" applyNumberFormat="1" applyFont="1" applyFill="1" applyBorder="1" applyAlignment="1">
      <alignment vertical="top" wrapText="1"/>
    </xf>
    <xf numFmtId="49" fontId="65" fillId="0" borderId="2" xfId="0" applyNumberFormat="1" applyFont="1" applyFill="1" applyBorder="1" applyAlignment="1">
      <alignment horizontal="center" vertical="top" wrapText="1"/>
    </xf>
    <xf numFmtId="0" fontId="65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187" fontId="41" fillId="0" borderId="9" xfId="1" applyNumberFormat="1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vertical="top" wrapText="1"/>
    </xf>
    <xf numFmtId="187" fontId="6" fillId="0" borderId="2" xfId="1" applyNumberFormat="1" applyFont="1" applyFill="1" applyBorder="1" applyAlignment="1">
      <alignment vertical="top" wrapText="1"/>
    </xf>
    <xf numFmtId="187" fontId="6" fillId="0" borderId="6" xfId="1" applyNumberFormat="1" applyFont="1" applyFill="1" applyBorder="1" applyAlignment="1">
      <alignment horizontal="left" vertical="top" wrapText="1"/>
    </xf>
    <xf numFmtId="187" fontId="25" fillId="0" borderId="6" xfId="1" applyNumberFormat="1" applyFont="1" applyFill="1" applyBorder="1" applyAlignment="1">
      <alignment horizontal="left" vertical="top" wrapText="1"/>
    </xf>
    <xf numFmtId="43" fontId="25" fillId="0" borderId="6" xfId="1" applyFont="1" applyFill="1" applyBorder="1" applyAlignment="1">
      <alignment vertical="top" wrapText="1"/>
    </xf>
    <xf numFmtId="187" fontId="25" fillId="0" borderId="6" xfId="1" applyNumberFormat="1" applyFont="1" applyFill="1" applyBorder="1" applyAlignment="1">
      <alignment vertical="top" wrapText="1"/>
    </xf>
    <xf numFmtId="187" fontId="25" fillId="0" borderId="6" xfId="1" applyNumberFormat="1" applyFont="1" applyFill="1" applyBorder="1" applyAlignment="1">
      <alignment horizontal="center" vertical="top" wrapText="1"/>
    </xf>
    <xf numFmtId="43" fontId="6" fillId="0" borderId="9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187" fontId="6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3" fontId="3" fillId="0" borderId="10" xfId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88" fontId="8" fillId="3" borderId="10" xfId="0" quotePrefix="1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87" fontId="2" fillId="3" borderId="4" xfId="1" applyNumberFormat="1" applyFont="1" applyFill="1" applyBorder="1" applyAlignment="1">
      <alignment vertical="top"/>
    </xf>
    <xf numFmtId="187" fontId="15" fillId="3" borderId="10" xfId="1" applyNumberFormat="1" applyFont="1" applyFill="1" applyBorder="1" applyAlignment="1">
      <alignment vertical="top"/>
    </xf>
    <xf numFmtId="187" fontId="4" fillId="3" borderId="10" xfId="1" applyNumberFormat="1" applyFont="1" applyFill="1" applyBorder="1" applyAlignment="1">
      <alignment vertical="top" wrapText="1"/>
    </xf>
    <xf numFmtId="187" fontId="3" fillId="3" borderId="10" xfId="1" applyNumberFormat="1" applyFont="1" applyFill="1" applyBorder="1" applyAlignment="1">
      <alignment horizontal="center" vertical="top" wrapText="1"/>
    </xf>
    <xf numFmtId="187" fontId="3" fillId="3" borderId="10" xfId="1" applyNumberFormat="1" applyFont="1" applyFill="1" applyBorder="1" applyAlignment="1">
      <alignment horizontal="left" vertical="top" wrapText="1"/>
    </xf>
    <xf numFmtId="187" fontId="6" fillId="3" borderId="10" xfId="1" applyNumberFormat="1" applyFont="1" applyFill="1" applyBorder="1" applyAlignment="1">
      <alignment vertical="top" wrapText="1"/>
    </xf>
    <xf numFmtId="187" fontId="6" fillId="3" borderId="10" xfId="1" applyNumberFormat="1" applyFont="1" applyFill="1" applyBorder="1" applyAlignment="1">
      <alignment horizontal="center" vertical="top" wrapText="1"/>
    </xf>
    <xf numFmtId="187" fontId="3" fillId="3" borderId="9" xfId="1" applyNumberFormat="1" applyFont="1" applyFill="1" applyBorder="1" applyAlignment="1">
      <alignment vertical="top"/>
    </xf>
    <xf numFmtId="187" fontId="25" fillId="3" borderId="9" xfId="1" applyNumberFormat="1" applyFont="1" applyFill="1" applyBorder="1" applyAlignment="1">
      <alignment horizontal="left" vertical="top" wrapText="1"/>
    </xf>
    <xf numFmtId="43" fontId="6" fillId="3" borderId="9" xfId="1" applyFont="1" applyFill="1" applyBorder="1" applyAlignment="1">
      <alignment horizontal="left" vertical="top" wrapText="1"/>
    </xf>
    <xf numFmtId="187" fontId="25" fillId="3" borderId="6" xfId="1" applyNumberFormat="1" applyFont="1" applyFill="1" applyBorder="1" applyAlignment="1">
      <alignment horizontal="left" vertical="top" wrapText="1"/>
    </xf>
    <xf numFmtId="187" fontId="23" fillId="3" borderId="9" xfId="1" applyNumberFormat="1" applyFont="1" applyFill="1" applyBorder="1" applyAlignment="1">
      <alignment horizontal="left" vertical="top" wrapText="1"/>
    </xf>
    <xf numFmtId="187" fontId="32" fillId="3" borderId="6" xfId="1" applyNumberFormat="1" applyFont="1" applyFill="1" applyBorder="1" applyAlignment="1">
      <alignment horizontal="left" vertical="top" wrapText="1"/>
    </xf>
    <xf numFmtId="187" fontId="23" fillId="3" borderId="6" xfId="1" applyNumberFormat="1" applyFont="1" applyFill="1" applyBorder="1" applyAlignment="1">
      <alignment horizontal="left" vertical="top" wrapText="1"/>
    </xf>
    <xf numFmtId="187" fontId="6" fillId="3" borderId="6" xfId="1" applyNumberFormat="1" applyFont="1" applyFill="1" applyBorder="1" applyAlignment="1">
      <alignment horizontal="right" vertical="top" wrapText="1"/>
    </xf>
    <xf numFmtId="187" fontId="6" fillId="3" borderId="9" xfId="1" applyNumberFormat="1" applyFont="1" applyFill="1" applyBorder="1" applyAlignment="1">
      <alignment horizontal="right" vertical="top" wrapText="1"/>
    </xf>
    <xf numFmtId="187" fontId="23" fillId="3" borderId="10" xfId="1" applyNumberFormat="1" applyFont="1" applyFill="1" applyBorder="1" applyAlignment="1">
      <alignment vertical="top" wrapText="1"/>
    </xf>
    <xf numFmtId="187" fontId="76" fillId="3" borderId="10" xfId="1" applyNumberFormat="1" applyFont="1" applyFill="1" applyBorder="1" applyAlignment="1">
      <alignment horizontal="right" vertical="top" wrapText="1"/>
    </xf>
    <xf numFmtId="187" fontId="25" fillId="3" borderId="10" xfId="1" applyNumberFormat="1" applyFont="1" applyFill="1" applyBorder="1" applyAlignment="1">
      <alignment horizontal="right" vertical="top" wrapText="1"/>
    </xf>
    <xf numFmtId="187" fontId="15" fillId="3" borderId="4" xfId="1" applyNumberFormat="1" applyFont="1" applyFill="1" applyBorder="1" applyAlignment="1">
      <alignment vertical="top" wrapText="1"/>
    </xf>
    <xf numFmtId="187" fontId="3" fillId="3" borderId="9" xfId="1" applyNumberFormat="1" applyFont="1" applyFill="1" applyBorder="1" applyAlignment="1">
      <alignment vertical="top" wrapText="1"/>
    </xf>
    <xf numFmtId="187" fontId="4" fillId="3" borderId="9" xfId="1" applyNumberFormat="1" applyFont="1" applyFill="1" applyBorder="1" applyAlignment="1">
      <alignment vertical="top" wrapText="1"/>
    </xf>
    <xf numFmtId="187" fontId="4" fillId="3" borderId="9" xfId="1" applyNumberFormat="1" applyFont="1" applyFill="1" applyBorder="1" applyAlignment="1">
      <alignment horizontal="left" vertical="top" wrapText="1"/>
    </xf>
    <xf numFmtId="187" fontId="4" fillId="3" borderId="10" xfId="1" applyNumberFormat="1" applyFont="1" applyFill="1" applyBorder="1" applyAlignment="1">
      <alignment horizontal="left" vertical="top" wrapText="1"/>
    </xf>
    <xf numFmtId="187" fontId="4" fillId="3" borderId="2" xfId="1" applyNumberFormat="1" applyFont="1" applyFill="1" applyBorder="1" applyAlignment="1">
      <alignment vertical="top" wrapText="1"/>
    </xf>
    <xf numFmtId="187" fontId="69" fillId="3" borderId="9" xfId="1" applyNumberFormat="1" applyFont="1" applyFill="1" applyBorder="1" applyAlignment="1">
      <alignment vertical="top" wrapText="1"/>
    </xf>
    <xf numFmtId="187" fontId="67" fillId="3" borderId="9" xfId="1" applyNumberFormat="1" applyFont="1" applyFill="1" applyBorder="1" applyAlignment="1">
      <alignment vertical="top" wrapText="1"/>
    </xf>
    <xf numFmtId="187" fontId="69" fillId="3" borderId="9" xfId="1" applyNumberFormat="1" applyFont="1" applyFill="1" applyBorder="1" applyAlignment="1">
      <alignment horizontal="left" vertical="top" wrapText="1"/>
    </xf>
    <xf numFmtId="187" fontId="6" fillId="3" borderId="9" xfId="1" applyNumberFormat="1" applyFont="1" applyFill="1" applyBorder="1" applyAlignment="1">
      <alignment horizontal="left" vertical="top" wrapText="1"/>
    </xf>
    <xf numFmtId="187" fontId="69" fillId="3" borderId="10" xfId="1" applyNumberFormat="1" applyFont="1" applyFill="1" applyBorder="1" applyAlignment="1">
      <alignment horizontal="left" vertical="top" wrapText="1"/>
    </xf>
    <xf numFmtId="187" fontId="10" fillId="3" borderId="4" xfId="1" applyNumberFormat="1" applyFont="1" applyFill="1" applyBorder="1" applyAlignment="1">
      <alignment vertical="top"/>
    </xf>
    <xf numFmtId="187" fontId="44" fillId="3" borderId="4" xfId="1" applyNumberFormat="1" applyFont="1" applyFill="1" applyBorder="1" applyAlignment="1">
      <alignment vertical="top"/>
    </xf>
    <xf numFmtId="187" fontId="16" fillId="3" borderId="4" xfId="1" applyNumberFormat="1" applyFont="1" applyFill="1" applyBorder="1" applyAlignment="1">
      <alignment vertical="top" wrapText="1"/>
    </xf>
    <xf numFmtId="187" fontId="21" fillId="3" borderId="9" xfId="1" applyNumberFormat="1" applyFont="1" applyFill="1" applyBorder="1" applyAlignment="1">
      <alignment horizontal="left" vertical="top" wrapText="1"/>
    </xf>
    <xf numFmtId="187" fontId="21" fillId="3" borderId="10" xfId="1" applyNumberFormat="1" applyFont="1" applyFill="1" applyBorder="1" applyAlignment="1">
      <alignment horizontal="left" vertical="top" wrapText="1"/>
    </xf>
    <xf numFmtId="187" fontId="45" fillId="3" borderId="10" xfId="1" applyNumberFormat="1" applyFont="1" applyFill="1" applyBorder="1" applyAlignment="1">
      <alignment vertical="top" wrapText="1"/>
    </xf>
    <xf numFmtId="187" fontId="76" fillId="3" borderId="9" xfId="1" applyNumberFormat="1" applyFont="1" applyFill="1" applyBorder="1" applyAlignment="1">
      <alignment horizontal="left" vertical="top" wrapText="1"/>
    </xf>
    <xf numFmtId="187" fontId="76" fillId="3" borderId="10" xfId="1" applyNumberFormat="1" applyFont="1" applyFill="1" applyBorder="1" applyAlignment="1">
      <alignment horizontal="left" vertical="top" wrapText="1"/>
    </xf>
    <xf numFmtId="187" fontId="21" fillId="3" borderId="10" xfId="1" applyNumberFormat="1" applyFont="1" applyFill="1" applyBorder="1" applyAlignment="1">
      <alignment vertical="top" wrapText="1"/>
    </xf>
    <xf numFmtId="187" fontId="32" fillId="3" borderId="10" xfId="1" applyNumberFormat="1" applyFont="1" applyFill="1" applyBorder="1" applyAlignment="1">
      <alignment vertical="top" wrapText="1"/>
    </xf>
    <xf numFmtId="187" fontId="5" fillId="3" borderId="0" xfId="1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 wrapText="1"/>
    </xf>
    <xf numFmtId="187" fontId="3" fillId="3" borderId="10" xfId="1" applyNumberFormat="1" applyFont="1" applyFill="1" applyBorder="1" applyAlignment="1">
      <alignment horizontal="center" vertical="center" wrapText="1"/>
    </xf>
    <xf numFmtId="187" fontId="3" fillId="3" borderId="11" xfId="1" applyNumberFormat="1" applyFont="1" applyFill="1" applyBorder="1" applyAlignment="1">
      <alignment horizontal="center" vertical="center" wrapText="1"/>
    </xf>
    <xf numFmtId="187" fontId="3" fillId="3" borderId="0" xfId="1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wrapText="1"/>
    </xf>
    <xf numFmtId="187" fontId="3" fillId="3" borderId="2" xfId="1" applyNumberFormat="1" applyFont="1" applyFill="1" applyBorder="1" applyAlignment="1">
      <alignment horizontal="center" vertical="top" wrapText="1"/>
    </xf>
    <xf numFmtId="187" fontId="3" fillId="3" borderId="8" xfId="1" applyNumberFormat="1" applyFont="1" applyFill="1" applyBorder="1" applyAlignment="1">
      <alignment vertical="top" wrapText="1"/>
    </xf>
    <xf numFmtId="187" fontId="5" fillId="3" borderId="8" xfId="1" applyNumberFormat="1" applyFont="1" applyFill="1" applyBorder="1" applyAlignment="1">
      <alignment vertical="top" wrapText="1"/>
    </xf>
    <xf numFmtId="187" fontId="15" fillId="3" borderId="0" xfId="1" applyNumberFormat="1" applyFont="1" applyFill="1" applyBorder="1" applyAlignment="1">
      <alignment horizontal="center" vertical="center" wrapText="1"/>
    </xf>
    <xf numFmtId="187" fontId="19" fillId="3" borderId="0" xfId="1" applyNumberFormat="1" applyFont="1" applyFill="1" applyBorder="1" applyAlignment="1">
      <alignment horizontal="center" vertical="center" wrapText="1"/>
    </xf>
    <xf numFmtId="187" fontId="77" fillId="3" borderId="0" xfId="1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187" fontId="3" fillId="3" borderId="3" xfId="1" applyNumberFormat="1" applyFont="1" applyFill="1" applyBorder="1" applyAlignment="1">
      <alignment horizontal="center" vertical="top" wrapText="1"/>
    </xf>
    <xf numFmtId="187" fontId="3" fillId="3" borderId="7" xfId="1" applyNumberFormat="1" applyFont="1" applyFill="1" applyBorder="1" applyAlignment="1">
      <alignment horizontal="center" vertical="top" wrapText="1"/>
    </xf>
    <xf numFmtId="187" fontId="3" fillId="3" borderId="16" xfId="1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87" fontId="6" fillId="3" borderId="9" xfId="1" applyNumberFormat="1" applyFont="1" applyFill="1" applyBorder="1" applyAlignment="1">
      <alignment horizontal="center" vertical="top" wrapText="1"/>
    </xf>
    <xf numFmtId="187" fontId="87" fillId="3" borderId="9" xfId="1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87" fontId="6" fillId="3" borderId="10" xfId="1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88" fillId="0" borderId="2" xfId="0" applyFont="1" applyBorder="1" applyAlignment="1">
      <alignment horizontal="center" vertical="top" wrapText="1"/>
    </xf>
    <xf numFmtId="0" fontId="88" fillId="0" borderId="0" xfId="0" applyFont="1" applyAlignment="1">
      <alignment horizontal="center" vertical="top" wrapText="1"/>
    </xf>
    <xf numFmtId="0" fontId="88" fillId="0" borderId="9" xfId="0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189" fontId="11" fillId="0" borderId="9" xfId="1" applyNumberFormat="1" applyFont="1" applyBorder="1" applyAlignment="1">
      <alignment vertical="top" wrapText="1"/>
    </xf>
    <xf numFmtId="189" fontId="11" fillId="0" borderId="9" xfId="1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189" fontId="11" fillId="0" borderId="10" xfId="1" applyNumberFormat="1" applyFont="1" applyBorder="1" applyAlignment="1">
      <alignment vertical="top" wrapText="1"/>
    </xf>
    <xf numFmtId="189" fontId="11" fillId="0" borderId="10" xfId="1" applyNumberFormat="1" applyFont="1" applyBorder="1" applyAlignment="1">
      <alignment horizontal="center" vertical="top" wrapText="1"/>
    </xf>
    <xf numFmtId="189" fontId="15" fillId="0" borderId="10" xfId="1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vertical="top" wrapText="1"/>
    </xf>
    <xf numFmtId="189" fontId="11" fillId="0" borderId="2" xfId="1" applyNumberFormat="1" applyFont="1" applyBorder="1" applyAlignment="1">
      <alignment vertical="top" wrapText="1"/>
    </xf>
    <xf numFmtId="189" fontId="11" fillId="0" borderId="2" xfId="1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189" fontId="11" fillId="0" borderId="6" xfId="1" applyNumberFormat="1" applyFont="1" applyBorder="1" applyAlignment="1">
      <alignment vertical="top" wrapText="1"/>
    </xf>
    <xf numFmtId="43" fontId="11" fillId="0" borderId="6" xfId="1" applyFont="1" applyBorder="1" applyAlignment="1">
      <alignment vertical="top" wrapText="1"/>
    </xf>
    <xf numFmtId="189" fontId="11" fillId="0" borderId="6" xfId="1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5" fillId="0" borderId="2" xfId="0" applyFont="1" applyBorder="1" applyAlignment="1"/>
    <xf numFmtId="187" fontId="11" fillId="0" borderId="6" xfId="1" applyNumberFormat="1" applyFont="1" applyBorder="1" applyAlignment="1">
      <alignment vertical="top" wrapText="1"/>
    </xf>
    <xf numFmtId="0" fontId="15" fillId="0" borderId="10" xfId="0" applyFont="1" applyBorder="1" applyAlignment="1"/>
    <xf numFmtId="0" fontId="11" fillId="0" borderId="0" xfId="0" applyFont="1" applyAlignment="1">
      <alignment vertical="center" wrapText="1"/>
    </xf>
    <xf numFmtId="189" fontId="11" fillId="0" borderId="11" xfId="1" applyNumberFormat="1" applyFont="1" applyBorder="1" applyAlignment="1">
      <alignment vertical="center" wrapText="1"/>
    </xf>
    <xf numFmtId="189" fontId="89" fillId="0" borderId="0" xfId="1" applyNumberFormat="1" applyFont="1" applyAlignment="1">
      <alignment vertical="center" wrapText="1"/>
    </xf>
    <xf numFmtId="189" fontId="3" fillId="0" borderId="0" xfId="1" applyNumberFormat="1" applyFont="1" applyAlignment="1">
      <alignment vertical="center" wrapText="1"/>
    </xf>
    <xf numFmtId="189" fontId="11" fillId="0" borderId="0" xfId="1" applyNumberFormat="1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189" fontId="11" fillId="0" borderId="0" xfId="1" applyNumberFormat="1" applyFont="1" applyBorder="1" applyAlignment="1">
      <alignment vertical="top" wrapText="1"/>
    </xf>
    <xf numFmtId="189" fontId="89" fillId="0" borderId="0" xfId="1" applyNumberFormat="1" applyFont="1" applyAlignment="1">
      <alignment vertical="top" wrapText="1"/>
    </xf>
    <xf numFmtId="189" fontId="3" fillId="0" borderId="0" xfId="1" applyNumberFormat="1" applyFont="1" applyAlignment="1">
      <alignment vertical="top" wrapText="1"/>
    </xf>
    <xf numFmtId="189" fontId="11" fillId="0" borderId="0" xfId="1" applyNumberFormat="1" applyFont="1" applyAlignment="1">
      <alignment vertical="top" wrapText="1"/>
    </xf>
    <xf numFmtId="189" fontId="11" fillId="0" borderId="0" xfId="1" applyNumberFormat="1" applyFont="1" applyBorder="1" applyAlignment="1">
      <alignment vertical="top"/>
    </xf>
    <xf numFmtId="189" fontId="89" fillId="0" borderId="0" xfId="1" applyNumberFormat="1" applyFont="1" applyAlignment="1">
      <alignment vertical="top"/>
    </xf>
    <xf numFmtId="189" fontId="3" fillId="0" borderId="0" xfId="1" applyNumberFormat="1" applyFont="1" applyAlignment="1">
      <alignment vertical="top"/>
    </xf>
    <xf numFmtId="189" fontId="11" fillId="0" borderId="0" xfId="1" applyNumberFormat="1" applyFont="1" applyAlignment="1">
      <alignment vertical="top"/>
    </xf>
    <xf numFmtId="0" fontId="11" fillId="0" borderId="0" xfId="0" applyFont="1" applyAlignment="1">
      <alignment horizontal="left" vertical="top" indent="3"/>
    </xf>
    <xf numFmtId="0" fontId="11" fillId="0" borderId="0" xfId="0" applyFont="1" applyAlignment="1">
      <alignment horizontal="left" vertical="top"/>
    </xf>
    <xf numFmtId="0" fontId="90" fillId="0" borderId="0" xfId="0" applyFont="1"/>
    <xf numFmtId="0" fontId="91" fillId="0" borderId="0" xfId="0" applyFont="1"/>
    <xf numFmtId="0" fontId="14" fillId="0" borderId="0" xfId="0" applyFont="1" applyAlignment="1">
      <alignment vertical="top"/>
    </xf>
    <xf numFmtId="187" fontId="5" fillId="3" borderId="10" xfId="1" applyNumberFormat="1" applyFont="1" applyFill="1" applyBorder="1" applyAlignment="1">
      <alignment horizontal="center" vertical="top" wrapText="1"/>
    </xf>
    <xf numFmtId="187" fontId="25" fillId="0" borderId="9" xfId="1" applyNumberFormat="1" applyFont="1" applyFill="1" applyBorder="1" applyAlignment="1">
      <alignment vertical="top"/>
    </xf>
    <xf numFmtId="187" fontId="3" fillId="0" borderId="1" xfId="1" applyNumberFormat="1" applyFont="1" applyFill="1" applyBorder="1" applyAlignment="1">
      <alignment horizontal="left" vertical="top" wrapText="1"/>
    </xf>
    <xf numFmtId="187" fontId="25" fillId="0" borderId="1" xfId="1" applyNumberFormat="1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76" fillId="0" borderId="9" xfId="0" applyNumberFormat="1" applyFont="1" applyFill="1" applyBorder="1" applyAlignment="1">
      <alignment vertical="top" wrapText="1"/>
    </xf>
    <xf numFmtId="187" fontId="2" fillId="0" borderId="5" xfId="1" applyNumberFormat="1" applyFont="1" applyFill="1" applyBorder="1" applyAlignment="1">
      <alignment vertical="top"/>
    </xf>
    <xf numFmtId="43" fontId="3" fillId="2" borderId="9" xfId="1" applyFont="1" applyFill="1" applyBorder="1" applyAlignment="1">
      <alignment vertical="top" wrapText="1"/>
    </xf>
    <xf numFmtId="43" fontId="3" fillId="2" borderId="10" xfId="1" applyFont="1" applyFill="1" applyBorder="1" applyAlignment="1">
      <alignment vertical="top" wrapText="1"/>
    </xf>
    <xf numFmtId="187" fontId="3" fillId="2" borderId="9" xfId="1" applyNumberFormat="1" applyFont="1" applyFill="1" applyBorder="1" applyAlignment="1">
      <alignment vertical="top"/>
    </xf>
    <xf numFmtId="187" fontId="3" fillId="3" borderId="10" xfId="1" applyNumberFormat="1" applyFont="1" applyFill="1" applyBorder="1" applyAlignment="1">
      <alignment vertical="top" wrapText="1"/>
    </xf>
    <xf numFmtId="187" fontId="25" fillId="0" borderId="1" xfId="1" applyNumberFormat="1" applyFont="1" applyFill="1" applyBorder="1" applyAlignment="1">
      <alignment horizontal="center" vertical="top" wrapText="1"/>
    </xf>
    <xf numFmtId="187" fontId="25" fillId="0" borderId="4" xfId="1" applyNumberFormat="1" applyFont="1" applyFill="1" applyBorder="1" applyAlignment="1">
      <alignment vertical="top" wrapText="1"/>
    </xf>
    <xf numFmtId="187" fontId="25" fillId="0" borderId="5" xfId="1" applyNumberFormat="1" applyFont="1" applyFill="1" applyBorder="1" applyAlignment="1">
      <alignment vertical="top" wrapText="1"/>
    </xf>
    <xf numFmtId="49" fontId="76" fillId="0" borderId="2" xfId="0" applyNumberFormat="1" applyFont="1" applyFill="1" applyBorder="1" applyAlignment="1">
      <alignment horizontal="center" vertical="top" wrapText="1"/>
    </xf>
    <xf numFmtId="0" fontId="76" fillId="0" borderId="2" xfId="0" applyFont="1" applyFill="1" applyBorder="1" applyAlignment="1">
      <alignment horizontal="left" vertical="top" wrapText="1"/>
    </xf>
    <xf numFmtId="0" fontId="76" fillId="0" borderId="9" xfId="0" applyFont="1" applyFill="1" applyBorder="1" applyAlignment="1">
      <alignment horizontal="left" vertical="top" wrapText="1"/>
    </xf>
    <xf numFmtId="0" fontId="76" fillId="0" borderId="1" xfId="0" applyNumberFormat="1" applyFont="1" applyFill="1" applyBorder="1" applyAlignment="1">
      <alignment vertical="top" wrapText="1"/>
    </xf>
    <xf numFmtId="187" fontId="63" fillId="3" borderId="6" xfId="1" applyNumberFormat="1" applyFont="1" applyFill="1" applyBorder="1" applyAlignment="1">
      <alignment vertical="top" wrapText="1"/>
    </xf>
    <xf numFmtId="187" fontId="63" fillId="3" borderId="6" xfId="1" applyNumberFormat="1" applyFont="1" applyFill="1" applyBorder="1" applyAlignment="1">
      <alignment vertical="top"/>
    </xf>
    <xf numFmtId="187" fontId="5" fillId="3" borderId="6" xfId="1" applyNumberFormat="1" applyFont="1" applyFill="1" applyBorder="1" applyAlignment="1">
      <alignment vertical="top"/>
    </xf>
    <xf numFmtId="187" fontId="76" fillId="0" borderId="4" xfId="1" applyNumberFormat="1" applyFont="1" applyFill="1" applyBorder="1" applyAlignment="1">
      <alignment vertical="top" wrapText="1"/>
    </xf>
    <xf numFmtId="187" fontId="69" fillId="0" borderId="4" xfId="1" applyNumberFormat="1" applyFont="1" applyFill="1" applyBorder="1" applyAlignment="1">
      <alignment vertical="top" wrapText="1"/>
    </xf>
    <xf numFmtId="187" fontId="69" fillId="0" borderId="1" xfId="1" applyNumberFormat="1" applyFont="1" applyFill="1" applyBorder="1" applyAlignment="1">
      <alignment horizontal="center" vertical="top" wrapText="1"/>
    </xf>
    <xf numFmtId="187" fontId="69" fillId="0" borderId="5" xfId="1" applyNumberFormat="1" applyFont="1" applyFill="1" applyBorder="1" applyAlignment="1">
      <alignment vertical="top" wrapText="1"/>
    </xf>
    <xf numFmtId="49" fontId="76" fillId="0" borderId="6" xfId="0" applyNumberFormat="1" applyFont="1" applyFill="1" applyBorder="1" applyAlignment="1">
      <alignment horizontal="center" vertical="top" wrapText="1"/>
    </xf>
    <xf numFmtId="0" fontId="79" fillId="0" borderId="9" xfId="0" applyNumberFormat="1" applyFont="1" applyFill="1" applyBorder="1" applyAlignment="1">
      <alignment vertical="top" wrapText="1"/>
    </xf>
    <xf numFmtId="0" fontId="79" fillId="0" borderId="1" xfId="0" applyNumberFormat="1" applyFont="1" applyFill="1" applyBorder="1" applyAlignment="1">
      <alignment vertical="top" wrapText="1"/>
    </xf>
    <xf numFmtId="0" fontId="76" fillId="0" borderId="10" xfId="0" applyNumberFormat="1" applyFont="1" applyBorder="1" applyAlignment="1">
      <alignment vertical="top" wrapText="1"/>
    </xf>
    <xf numFmtId="49" fontId="76" fillId="0" borderId="10" xfId="0" applyNumberFormat="1" applyFont="1" applyBorder="1" applyAlignment="1">
      <alignment horizontal="left" vertical="top" wrapText="1"/>
    </xf>
    <xf numFmtId="0" fontId="79" fillId="0" borderId="9" xfId="0" applyFont="1" applyFill="1" applyBorder="1" applyAlignment="1">
      <alignment horizontal="left" vertical="top" wrapText="1"/>
    </xf>
    <xf numFmtId="187" fontId="79" fillId="0" borderId="10" xfId="1" applyNumberFormat="1" applyFont="1" applyFill="1" applyBorder="1" applyAlignment="1">
      <alignment horizontal="left" vertical="top" wrapText="1"/>
    </xf>
    <xf numFmtId="43" fontId="3" fillId="0" borderId="10" xfId="1" applyFont="1" applyFill="1" applyBorder="1" applyAlignment="1">
      <alignment vertical="top" wrapText="1"/>
    </xf>
    <xf numFmtId="187" fontId="79" fillId="0" borderId="9" xfId="1" applyNumberFormat="1" applyFont="1" applyFill="1" applyBorder="1" applyAlignment="1">
      <alignment horizontal="left" vertical="top" wrapText="1"/>
    </xf>
    <xf numFmtId="43" fontId="4" fillId="0" borderId="10" xfId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43" fontId="11" fillId="0" borderId="9" xfId="1" applyFont="1" applyBorder="1" applyAlignment="1">
      <alignment vertical="top" wrapText="1"/>
    </xf>
    <xf numFmtId="0" fontId="18" fillId="0" borderId="0" xfId="0" applyFont="1" applyAlignment="1">
      <alignment vertical="top"/>
    </xf>
    <xf numFmtId="189" fontId="18" fillId="0" borderId="10" xfId="1" applyNumberFormat="1" applyFont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187" fontId="93" fillId="3" borderId="10" xfId="1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41" fillId="0" borderId="9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49" fontId="65" fillId="0" borderId="2" xfId="0" applyNumberFormat="1" applyFont="1" applyFill="1" applyBorder="1" applyAlignment="1">
      <alignment horizontal="center" vertical="top" wrapText="1"/>
    </xf>
    <xf numFmtId="49" fontId="65" fillId="0" borderId="6" xfId="0" applyNumberFormat="1" applyFont="1" applyFill="1" applyBorder="1" applyAlignment="1">
      <alignment horizontal="center" vertical="top" wrapText="1"/>
    </xf>
    <xf numFmtId="49" fontId="65" fillId="0" borderId="9" xfId="0" applyNumberFormat="1" applyFont="1" applyFill="1" applyBorder="1" applyAlignment="1">
      <alignment horizontal="center" vertical="top" wrapText="1"/>
    </xf>
    <xf numFmtId="0" fontId="66" fillId="0" borderId="2" xfId="0" applyFont="1" applyFill="1" applyBorder="1" applyAlignment="1">
      <alignment vertical="top" wrapText="1"/>
    </xf>
    <xf numFmtId="0" fontId="66" fillId="0" borderId="6" xfId="0" applyFont="1" applyFill="1" applyBorder="1" applyAlignment="1">
      <alignment vertical="top" wrapText="1"/>
    </xf>
    <xf numFmtId="0" fontId="66" fillId="0" borderId="9" xfId="0" applyFont="1" applyFill="1" applyBorder="1" applyAlignment="1">
      <alignment vertical="top" wrapText="1"/>
    </xf>
    <xf numFmtId="187" fontId="6" fillId="3" borderId="6" xfId="1" applyNumberFormat="1" applyFont="1" applyFill="1" applyBorder="1" applyAlignment="1">
      <alignment horizontal="left" vertical="top" wrapText="1"/>
    </xf>
    <xf numFmtId="187" fontId="83" fillId="3" borderId="9" xfId="1" applyNumberFormat="1" applyFont="1" applyFill="1" applyBorder="1" applyAlignment="1">
      <alignment horizontal="left" vertical="top" wrapText="1"/>
    </xf>
    <xf numFmtId="187" fontId="3" fillId="3" borderId="2" xfId="1" applyNumberFormat="1" applyFont="1" applyFill="1" applyBorder="1" applyAlignment="1">
      <alignment horizontal="left" vertical="top" wrapText="1"/>
    </xf>
    <xf numFmtId="0" fontId="25" fillId="0" borderId="9" xfId="1" applyNumberFormat="1" applyFont="1" applyFill="1" applyBorder="1" applyAlignment="1">
      <alignment horizontal="left" vertical="top" wrapText="1"/>
    </xf>
    <xf numFmtId="187" fontId="6" fillId="0" borderId="6" xfId="1" applyNumberFormat="1" applyFont="1" applyFill="1" applyBorder="1" applyAlignment="1">
      <alignment horizontal="right" vertical="top" wrapText="1"/>
    </xf>
    <xf numFmtId="187" fontId="6" fillId="0" borderId="9" xfId="1" applyNumberFormat="1" applyFont="1" applyFill="1" applyBorder="1" applyAlignment="1">
      <alignment horizontal="right" vertical="top" wrapText="1"/>
    </xf>
    <xf numFmtId="187" fontId="76" fillId="0" borderId="10" xfId="1" applyNumberFormat="1" applyFont="1" applyFill="1" applyBorder="1" applyAlignment="1">
      <alignment horizontal="right" vertical="top" wrapText="1"/>
    </xf>
    <xf numFmtId="187" fontId="25" fillId="0" borderId="10" xfId="1" applyNumberFormat="1" applyFont="1" applyFill="1" applyBorder="1" applyAlignment="1">
      <alignment horizontal="right" vertical="top" wrapText="1"/>
    </xf>
    <xf numFmtId="187" fontId="87" fillId="0" borderId="9" xfId="1" applyNumberFormat="1" applyFont="1" applyFill="1" applyBorder="1" applyAlignment="1">
      <alignment horizontal="left" vertical="top" wrapText="1"/>
    </xf>
    <xf numFmtId="187" fontId="5" fillId="0" borderId="6" xfId="1" applyNumberFormat="1" applyFont="1" applyFill="1" applyBorder="1" applyAlignment="1">
      <alignment vertical="top"/>
    </xf>
    <xf numFmtId="187" fontId="93" fillId="0" borderId="10" xfId="1" applyNumberFormat="1" applyFont="1" applyFill="1" applyBorder="1" applyAlignment="1">
      <alignment horizontal="left" vertical="top" wrapText="1"/>
    </xf>
    <xf numFmtId="0" fontId="25" fillId="3" borderId="10" xfId="1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/>
    </xf>
    <xf numFmtId="0" fontId="65" fillId="0" borderId="6" xfId="0" applyFont="1" applyFill="1" applyBorder="1" applyAlignment="1">
      <alignment vertical="top"/>
    </xf>
    <xf numFmtId="0" fontId="6" fillId="0" borderId="6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187" fontId="4" fillId="0" borderId="9" xfId="1" applyNumberFormat="1" applyFont="1" applyFill="1" applyBorder="1" applyAlignment="1">
      <alignment vertical="top"/>
    </xf>
    <xf numFmtId="43" fontId="3" fillId="2" borderId="9" xfId="1" applyFont="1" applyFill="1" applyBorder="1" applyAlignment="1">
      <alignment vertical="top"/>
    </xf>
    <xf numFmtId="187" fontId="4" fillId="3" borderId="9" xfId="1" applyNumberFormat="1" applyFont="1" applyFill="1" applyBorder="1" applyAlignment="1">
      <alignment vertical="top"/>
    </xf>
    <xf numFmtId="187" fontId="5" fillId="2" borderId="9" xfId="1" applyNumberFormat="1" applyFont="1" applyFill="1" applyBorder="1" applyAlignment="1">
      <alignment vertical="top"/>
    </xf>
    <xf numFmtId="43" fontId="5" fillId="2" borderId="9" xfId="1" applyFont="1" applyFill="1" applyBorder="1" applyAlignment="1">
      <alignment vertical="top"/>
    </xf>
    <xf numFmtId="49" fontId="65" fillId="0" borderId="6" xfId="0" applyNumberFormat="1" applyFont="1" applyFill="1" applyBorder="1" applyAlignment="1">
      <alignment vertical="top"/>
    </xf>
    <xf numFmtId="0" fontId="41" fillId="0" borderId="6" xfId="0" applyNumberFormat="1" applyFont="1" applyFill="1" applyBorder="1" applyAlignment="1">
      <alignment vertical="top"/>
    </xf>
    <xf numFmtId="0" fontId="6" fillId="0" borderId="9" xfId="1" applyNumberFormat="1" applyFont="1" applyFill="1" applyBorder="1" applyAlignment="1">
      <alignment vertical="top"/>
    </xf>
    <xf numFmtId="0" fontId="6" fillId="0" borderId="10" xfId="1" applyNumberFormat="1" applyFont="1" applyFill="1" applyBorder="1" applyAlignment="1">
      <alignment vertical="top"/>
    </xf>
    <xf numFmtId="49" fontId="65" fillId="0" borderId="9" xfId="0" applyNumberFormat="1" applyFont="1" applyFill="1" applyBorder="1" applyAlignment="1">
      <alignment vertical="top"/>
    </xf>
    <xf numFmtId="0" fontId="65" fillId="0" borderId="9" xfId="0" applyFont="1" applyFill="1" applyBorder="1" applyAlignment="1">
      <alignment vertical="top"/>
    </xf>
    <xf numFmtId="0" fontId="6" fillId="0" borderId="9" xfId="0" applyNumberFormat="1" applyFont="1" applyFill="1" applyBorder="1" applyAlignment="1">
      <alignment vertical="top"/>
    </xf>
    <xf numFmtId="0" fontId="41" fillId="0" borderId="9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6" fillId="0" borderId="2" xfId="0" applyFont="1" applyFill="1" applyBorder="1" applyAlignment="1">
      <alignment horizontal="center" vertical="top" wrapText="1"/>
    </xf>
    <xf numFmtId="0" fontId="96" fillId="0" borderId="10" xfId="2" applyFont="1" applyBorder="1" applyAlignment="1">
      <alignment vertical="top" wrapText="1"/>
    </xf>
    <xf numFmtId="0" fontId="95" fillId="2" borderId="10" xfId="2" applyFont="1" applyFill="1" applyBorder="1" applyAlignment="1">
      <alignment vertical="top" wrapText="1"/>
    </xf>
    <xf numFmtId="0" fontId="95" fillId="0" borderId="10" xfId="2" applyFont="1" applyBorder="1" applyAlignment="1">
      <alignment vertical="top" wrapText="1"/>
    </xf>
    <xf numFmtId="0" fontId="95" fillId="4" borderId="10" xfId="0" applyFont="1" applyFill="1" applyBorder="1" applyAlignment="1">
      <alignment vertical="top" wrapText="1"/>
    </xf>
    <xf numFmtId="0" fontId="96" fillId="0" borderId="10" xfId="0" applyFont="1" applyBorder="1" applyAlignment="1">
      <alignment horizontal="center" vertical="top" wrapText="1"/>
    </xf>
    <xf numFmtId="187" fontId="95" fillId="5" borderId="10" xfId="3" applyNumberFormat="1" applyFont="1" applyFill="1" applyBorder="1" applyAlignment="1">
      <alignment vertical="top"/>
    </xf>
    <xf numFmtId="187" fontId="96" fillId="0" borderId="10" xfId="3" applyNumberFormat="1" applyFont="1" applyBorder="1" applyAlignment="1">
      <alignment vertical="top"/>
    </xf>
    <xf numFmtId="187" fontId="96" fillId="0" borderId="10" xfId="3" applyNumberFormat="1" applyFont="1" applyBorder="1" applyAlignment="1">
      <alignment vertical="top" wrapText="1"/>
    </xf>
    <xf numFmtId="187" fontId="95" fillId="2" borderId="10" xfId="3" applyNumberFormat="1" applyFont="1" applyFill="1" applyBorder="1" applyAlignment="1">
      <alignment vertical="top" wrapText="1"/>
    </xf>
    <xf numFmtId="187" fontId="96" fillId="2" borderId="10" xfId="3" applyNumberFormat="1" applyFont="1" applyFill="1" applyBorder="1" applyAlignment="1">
      <alignment vertical="top" wrapText="1"/>
    </xf>
    <xf numFmtId="187" fontId="96" fillId="2" borderId="10" xfId="3" applyNumberFormat="1" applyFont="1" applyFill="1" applyBorder="1" applyAlignment="1">
      <alignment vertical="top"/>
    </xf>
    <xf numFmtId="187" fontId="95" fillId="0" borderId="10" xfId="3" applyNumberFormat="1" applyFont="1" applyBorder="1" applyAlignment="1">
      <alignment vertical="top"/>
    </xf>
    <xf numFmtId="187" fontId="98" fillId="0" borderId="10" xfId="3" applyNumberFormat="1" applyFont="1" applyBorder="1" applyAlignment="1">
      <alignment vertical="top" wrapText="1"/>
    </xf>
    <xf numFmtId="187" fontId="96" fillId="4" borderId="10" xfId="4" applyNumberFormat="1" applyFont="1" applyFill="1" applyBorder="1" applyAlignment="1">
      <alignment vertical="top" wrapText="1"/>
    </xf>
    <xf numFmtId="187" fontId="95" fillId="4" borderId="10" xfId="4" applyNumberFormat="1" applyFont="1" applyFill="1" applyBorder="1" applyAlignment="1">
      <alignment vertical="top" wrapText="1"/>
    </xf>
    <xf numFmtId="0" fontId="96" fillId="0" borderId="10" xfId="2" applyFont="1" applyBorder="1" applyAlignment="1">
      <alignment horizontal="left" vertical="top" wrapText="1" indent="5"/>
    </xf>
    <xf numFmtId="0" fontId="96" fillId="0" borderId="10" xfId="2" applyFont="1" applyBorder="1" applyAlignment="1">
      <alignment horizontal="left" vertical="top" indent="1"/>
    </xf>
    <xf numFmtId="0" fontId="96" fillId="0" borderId="10" xfId="2" applyFont="1" applyBorder="1" applyAlignment="1">
      <alignment horizontal="left" vertical="top" wrapText="1" indent="2"/>
    </xf>
    <xf numFmtId="0" fontId="96" fillId="0" borderId="9" xfId="2" applyFont="1" applyBorder="1" applyAlignment="1">
      <alignment horizontal="center" vertical="top"/>
    </xf>
    <xf numFmtId="0" fontId="95" fillId="0" borderId="10" xfId="0" applyFont="1" applyBorder="1" applyAlignment="1">
      <alignment horizontal="center" vertical="top" wrapText="1"/>
    </xf>
    <xf numFmtId="187" fontId="100" fillId="0" borderId="10" xfId="3" applyNumberFormat="1" applyFont="1" applyBorder="1" applyAlignment="1">
      <alignment vertical="top"/>
    </xf>
    <xf numFmtId="0" fontId="100" fillId="0" borderId="10" xfId="2" applyFont="1" applyBorder="1" applyAlignment="1">
      <alignment vertical="top" wrapText="1"/>
    </xf>
    <xf numFmtId="0" fontId="96" fillId="2" borderId="10" xfId="2" applyFont="1" applyFill="1" applyBorder="1" applyAlignment="1">
      <alignment vertical="top" wrapText="1"/>
    </xf>
    <xf numFmtId="0" fontId="96" fillId="4" borderId="10" xfId="0" applyFont="1" applyFill="1" applyBorder="1" applyAlignment="1">
      <alignment vertical="top" wrapText="1"/>
    </xf>
    <xf numFmtId="0" fontId="96" fillId="0" borderId="10" xfId="2" applyFont="1" applyBorder="1" applyAlignment="1">
      <alignment horizontal="left" vertical="top" wrapText="1" indent="1"/>
    </xf>
    <xf numFmtId="0" fontId="100" fillId="0" borderId="10" xfId="2" applyFont="1" applyBorder="1" applyAlignment="1">
      <alignment horizontal="left" vertical="top" wrapText="1" indent="1"/>
    </xf>
    <xf numFmtId="0" fontId="96" fillId="0" borderId="10" xfId="2" applyFont="1" applyBorder="1" applyAlignment="1">
      <alignment horizontal="left" vertical="top" wrapText="1" indent="3"/>
    </xf>
    <xf numFmtId="0" fontId="96" fillId="0" borderId="10" xfId="2" applyFont="1" applyBorder="1" applyAlignment="1">
      <alignment horizontal="left" vertical="top" wrapText="1" indent="4"/>
    </xf>
    <xf numFmtId="0" fontId="100" fillId="0" borderId="10" xfId="2" applyFont="1" applyBorder="1" applyAlignment="1">
      <alignment horizontal="left" vertical="top" wrapText="1" indent="2"/>
    </xf>
    <xf numFmtId="0" fontId="100" fillId="0" borderId="10" xfId="2" applyFont="1" applyBorder="1" applyAlignment="1">
      <alignment horizontal="left" vertical="top" wrapText="1" indent="3"/>
    </xf>
    <xf numFmtId="0" fontId="100" fillId="0" borderId="10" xfId="2" applyFont="1" applyBorder="1" applyAlignment="1">
      <alignment horizontal="left" vertical="top" wrapText="1" indent="4"/>
    </xf>
    <xf numFmtId="0" fontId="102" fillId="0" borderId="10" xfId="2" applyFont="1" applyBorder="1" applyAlignment="1">
      <alignment horizontal="left" vertical="top" wrapText="1" indent="6"/>
    </xf>
    <xf numFmtId="187" fontId="102" fillId="0" borderId="10" xfId="3" applyNumberFormat="1" applyFont="1" applyBorder="1" applyAlignment="1">
      <alignment vertical="top" wrapText="1"/>
    </xf>
    <xf numFmtId="49" fontId="104" fillId="0" borderId="10" xfId="2" applyNumberFormat="1" applyFont="1" applyBorder="1" applyAlignment="1">
      <alignment horizontal="center" vertical="top" wrapText="1"/>
    </xf>
    <xf numFmtId="0" fontId="104" fillId="4" borderId="0" xfId="0" applyFont="1" applyFill="1" applyBorder="1" applyAlignment="1">
      <alignment vertical="top" wrapText="1"/>
    </xf>
    <xf numFmtId="0" fontId="105" fillId="4" borderId="0" xfId="0" applyFont="1" applyFill="1" applyBorder="1" applyAlignment="1">
      <alignment vertical="top" wrapText="1"/>
    </xf>
    <xf numFmtId="49" fontId="101" fillId="0" borderId="0" xfId="0" applyNumberFormat="1" applyFont="1" applyFill="1" applyAlignment="1">
      <alignment horizontal="left" vertical="center"/>
    </xf>
    <xf numFmtId="0" fontId="102" fillId="0" borderId="0" xfId="0" applyFont="1" applyFill="1" applyAlignment="1">
      <alignment vertical="top" wrapText="1"/>
    </xf>
    <xf numFmtId="0" fontId="105" fillId="0" borderId="0" xfId="0" applyFont="1" applyFill="1" applyAlignment="1">
      <alignment vertical="top" wrapText="1"/>
    </xf>
    <xf numFmtId="0" fontId="102" fillId="0" borderId="0" xfId="0" applyFont="1" applyFill="1" applyAlignment="1">
      <alignment horizontal="center" vertical="center" wrapText="1"/>
    </xf>
    <xf numFmtId="0" fontId="101" fillId="0" borderId="0" xfId="0" applyFont="1" applyFill="1" applyAlignment="1">
      <alignment vertical="center" wrapText="1"/>
    </xf>
    <xf numFmtId="0" fontId="101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vertical="center" wrapText="1"/>
    </xf>
    <xf numFmtId="49" fontId="101" fillId="0" borderId="1" xfId="0" applyNumberFormat="1" applyFont="1" applyFill="1" applyBorder="1" applyAlignment="1">
      <alignment horizontal="left" vertical="center"/>
    </xf>
    <xf numFmtId="0" fontId="101" fillId="0" borderId="1" xfId="0" applyFont="1" applyFill="1" applyBorder="1" applyAlignment="1">
      <alignment vertical="center" wrapText="1"/>
    </xf>
    <xf numFmtId="0" fontId="101" fillId="0" borderId="1" xfId="0" applyFont="1" applyFill="1" applyBorder="1" applyAlignment="1">
      <alignment horizontal="center" vertical="center" wrapText="1"/>
    </xf>
    <xf numFmtId="49" fontId="105" fillId="0" borderId="4" xfId="0" applyNumberFormat="1" applyFont="1" applyFill="1" applyBorder="1" applyAlignment="1">
      <alignment vertical="top" wrapText="1"/>
    </xf>
    <xf numFmtId="49" fontId="107" fillId="0" borderId="16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center" vertical="top"/>
    </xf>
    <xf numFmtId="49" fontId="108" fillId="0" borderId="1" xfId="0" applyNumberFormat="1" applyFont="1" applyFill="1" applyBorder="1" applyAlignment="1">
      <alignment vertical="top" wrapText="1"/>
    </xf>
    <xf numFmtId="49" fontId="105" fillId="0" borderId="1" xfId="0" applyNumberFormat="1" applyFont="1" applyFill="1" applyBorder="1" applyAlignment="1">
      <alignment vertical="top" wrapText="1"/>
    </xf>
    <xf numFmtId="49" fontId="108" fillId="0" borderId="1" xfId="0" applyNumberFormat="1" applyFont="1" applyFill="1" applyBorder="1" applyAlignment="1">
      <alignment horizontal="center" vertical="center"/>
    </xf>
    <xf numFmtId="49" fontId="108" fillId="0" borderId="4" xfId="0" applyNumberFormat="1" applyFont="1" applyFill="1" applyBorder="1" applyAlignment="1">
      <alignment horizontal="center" vertical="center"/>
    </xf>
    <xf numFmtId="49" fontId="101" fillId="0" borderId="4" xfId="0" applyNumberFormat="1" applyFont="1" applyFill="1" applyBorder="1" applyAlignment="1">
      <alignment horizontal="left" vertical="top"/>
    </xf>
    <xf numFmtId="49" fontId="108" fillId="0" borderId="5" xfId="0" applyNumberFormat="1" applyFont="1" applyFill="1" applyBorder="1" applyAlignment="1">
      <alignment horizontal="center" vertical="center"/>
    </xf>
    <xf numFmtId="49" fontId="108" fillId="0" borderId="0" xfId="0" applyNumberFormat="1" applyFont="1" applyFill="1" applyAlignment="1">
      <alignment horizontal="center" vertical="center"/>
    </xf>
    <xf numFmtId="49" fontId="107" fillId="0" borderId="8" xfId="0" applyNumberFormat="1" applyFont="1" applyFill="1" applyBorder="1" applyAlignment="1">
      <alignment horizontal="left" vertical="center"/>
    </xf>
    <xf numFmtId="49" fontId="108" fillId="0" borderId="4" xfId="0" applyNumberFormat="1" applyFont="1" applyFill="1" applyBorder="1" applyAlignment="1">
      <alignment horizontal="center" vertical="top"/>
    </xf>
    <xf numFmtId="49" fontId="108" fillId="0" borderId="4" xfId="0" applyNumberFormat="1" applyFont="1" applyFill="1" applyBorder="1" applyAlignment="1">
      <alignment vertical="top" wrapText="1"/>
    </xf>
    <xf numFmtId="0" fontId="102" fillId="0" borderId="10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 vertical="top" wrapText="1"/>
    </xf>
    <xf numFmtId="0" fontId="110" fillId="0" borderId="0" xfId="0" applyFont="1" applyAlignment="1">
      <alignment vertical="top" wrapText="1"/>
    </xf>
    <xf numFmtId="0" fontId="109" fillId="0" borderId="0" xfId="0" applyFont="1"/>
    <xf numFmtId="49" fontId="102" fillId="0" borderId="0" xfId="0" applyNumberFormat="1" applyFont="1" applyFill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188" fontId="95" fillId="0" borderId="10" xfId="0" quotePrefix="1" applyNumberFormat="1" applyFont="1" applyFill="1" applyBorder="1" applyAlignment="1">
      <alignment horizontal="center" vertical="center" wrapText="1"/>
    </xf>
    <xf numFmtId="188" fontId="95" fillId="0" borderId="10" xfId="0" quotePrefix="1" applyNumberFormat="1" applyFont="1" applyFill="1" applyBorder="1" applyAlignment="1">
      <alignment horizontal="center" vertical="top" wrapText="1"/>
    </xf>
    <xf numFmtId="0" fontId="95" fillId="2" borderId="9" xfId="2" applyFont="1" applyFill="1" applyBorder="1" applyAlignment="1">
      <alignment vertical="top" wrapText="1"/>
    </xf>
    <xf numFmtId="187" fontId="95" fillId="2" borderId="9" xfId="3" applyNumberFormat="1" applyFont="1" applyFill="1" applyBorder="1" applyAlignment="1">
      <alignment vertical="top" wrapText="1"/>
    </xf>
    <xf numFmtId="187" fontId="96" fillId="2" borderId="9" xfId="3" applyNumberFormat="1" applyFont="1" applyFill="1" applyBorder="1" applyAlignment="1">
      <alignment vertical="top" wrapText="1"/>
    </xf>
    <xf numFmtId="0" fontId="102" fillId="0" borderId="21" xfId="0" applyFont="1" applyFill="1" applyBorder="1" applyAlignment="1">
      <alignment horizontal="center" vertical="center" wrapText="1"/>
    </xf>
    <xf numFmtId="0" fontId="100" fillId="0" borderId="21" xfId="2" applyFont="1" applyBorder="1" applyAlignment="1">
      <alignment horizontal="left" vertical="top" wrapText="1" indent="3"/>
    </xf>
    <xf numFmtId="49" fontId="104" fillId="0" borderId="21" xfId="2" applyNumberFormat="1" applyFont="1" applyBorder="1" applyAlignment="1">
      <alignment horizontal="center" vertical="top" wrapText="1"/>
    </xf>
    <xf numFmtId="187" fontId="100" fillId="0" borderId="21" xfId="3" applyNumberFormat="1" applyFont="1" applyBorder="1" applyAlignment="1">
      <alignment vertical="top" wrapText="1"/>
    </xf>
    <xf numFmtId="0" fontId="102" fillId="0" borderId="2" xfId="0" applyFont="1" applyFill="1" applyBorder="1" applyAlignment="1">
      <alignment horizontal="center" vertical="center" wrapText="1"/>
    </xf>
    <xf numFmtId="49" fontId="104" fillId="0" borderId="2" xfId="2" applyNumberFormat="1" applyFont="1" applyBorder="1" applyAlignment="1">
      <alignment horizontal="center" vertical="top" wrapText="1"/>
    </xf>
    <xf numFmtId="0" fontId="95" fillId="0" borderId="9" xfId="2" applyFont="1" applyBorder="1" applyAlignment="1">
      <alignment vertical="top" wrapText="1"/>
    </xf>
    <xf numFmtId="187" fontId="95" fillId="5" borderId="9" xfId="3" applyNumberFormat="1" applyFont="1" applyFill="1" applyBorder="1" applyAlignment="1">
      <alignment vertical="top"/>
    </xf>
    <xf numFmtId="187" fontId="95" fillId="0" borderId="9" xfId="3" applyNumberFormat="1" applyFont="1" applyBorder="1" applyAlignment="1">
      <alignment vertical="top"/>
    </xf>
    <xf numFmtId="0" fontId="96" fillId="2" borderId="9" xfId="2" applyFont="1" applyFill="1" applyBorder="1" applyAlignment="1">
      <alignment horizontal="center" vertical="top"/>
    </xf>
    <xf numFmtId="0" fontId="96" fillId="2" borderId="2" xfId="2" applyFont="1" applyFill="1" applyBorder="1" applyAlignment="1">
      <alignment vertical="top" wrapText="1"/>
    </xf>
    <xf numFmtId="187" fontId="96" fillId="2" borderId="2" xfId="3" applyNumberFormat="1" applyFont="1" applyFill="1" applyBorder="1" applyAlignment="1">
      <alignment vertical="top"/>
    </xf>
    <xf numFmtId="0" fontId="96" fillId="2" borderId="21" xfId="2" applyFont="1" applyFill="1" applyBorder="1" applyAlignment="1">
      <alignment horizontal="left" vertical="top" wrapText="1" indent="2"/>
    </xf>
    <xf numFmtId="187" fontId="96" fillId="2" borderId="21" xfId="3" applyNumberFormat="1" applyFont="1" applyFill="1" applyBorder="1" applyAlignment="1">
      <alignment vertical="top"/>
    </xf>
    <xf numFmtId="49" fontId="104" fillId="0" borderId="6" xfId="2" applyNumberFormat="1" applyFont="1" applyBorder="1" applyAlignment="1">
      <alignment horizontal="center" vertical="top" wrapText="1"/>
    </xf>
    <xf numFmtId="0" fontId="102" fillId="0" borderId="9" xfId="0" applyFont="1" applyFill="1" applyBorder="1" applyAlignment="1">
      <alignment horizontal="center" vertical="center" wrapText="1"/>
    </xf>
    <xf numFmtId="49" fontId="106" fillId="0" borderId="2" xfId="2" applyNumberFormat="1" applyFont="1" applyBorder="1" applyAlignment="1">
      <alignment horizontal="center" vertical="top" wrapText="1"/>
    </xf>
    <xf numFmtId="0" fontId="102" fillId="0" borderId="10" xfId="2" applyFont="1" applyBorder="1" applyAlignment="1">
      <alignment horizontal="left" vertical="top" wrapText="1" indent="1"/>
    </xf>
    <xf numFmtId="0" fontId="102" fillId="0" borderId="10" xfId="2" applyFont="1" applyBorder="1" applyAlignment="1">
      <alignment horizontal="left" vertical="top" wrapText="1" indent="3"/>
    </xf>
    <xf numFmtId="49" fontId="106" fillId="0" borderId="6" xfId="2" applyNumberFormat="1" applyFont="1" applyBorder="1" applyAlignment="1">
      <alignment horizontal="center" vertical="top" wrapText="1"/>
    </xf>
    <xf numFmtId="0" fontId="96" fillId="0" borderId="21" xfId="2" applyFont="1" applyBorder="1" applyAlignment="1">
      <alignment horizontal="left" vertical="top" wrapText="1" indent="1"/>
    </xf>
    <xf numFmtId="49" fontId="106" fillId="0" borderId="21" xfId="2" applyNumberFormat="1" applyFont="1" applyBorder="1" applyAlignment="1">
      <alignment horizontal="center" vertical="top" wrapText="1"/>
    </xf>
    <xf numFmtId="187" fontId="96" fillId="0" borderId="21" xfId="3" applyNumberFormat="1" applyFont="1" applyBorder="1" applyAlignment="1">
      <alignment vertical="top"/>
    </xf>
    <xf numFmtId="49" fontId="104" fillId="0" borderId="9" xfId="2" applyNumberFormat="1" applyFont="1" applyBorder="1" applyAlignment="1">
      <alignment horizontal="center" vertical="top" wrapText="1"/>
    </xf>
    <xf numFmtId="187" fontId="96" fillId="0" borderId="21" xfId="3" applyNumberFormat="1" applyFont="1" applyBorder="1" applyAlignment="1">
      <alignment vertical="top" wrapText="1"/>
    </xf>
    <xf numFmtId="0" fontId="102" fillId="0" borderId="21" xfId="2" applyFont="1" applyBorder="1" applyAlignment="1">
      <alignment horizontal="left" vertical="top" wrapText="1" indent="3"/>
    </xf>
    <xf numFmtId="0" fontId="100" fillId="0" borderId="21" xfId="2" applyFont="1" applyBorder="1" applyAlignment="1">
      <alignment horizontal="left" vertical="top" wrapText="1" indent="2"/>
    </xf>
    <xf numFmtId="187" fontId="100" fillId="0" borderId="21" xfId="3" applyNumberFormat="1" applyFont="1" applyBorder="1" applyAlignment="1">
      <alignment vertical="top"/>
    </xf>
    <xf numFmtId="0" fontId="102" fillId="0" borderId="0" xfId="0" applyFont="1" applyFill="1" applyAlignment="1">
      <alignment horizontal="center" vertical="top" wrapText="1"/>
    </xf>
    <xf numFmtId="0" fontId="103" fillId="0" borderId="9" xfId="0" applyFont="1" applyFill="1" applyBorder="1" applyAlignment="1">
      <alignment horizontal="center" vertical="top" wrapText="1"/>
    </xf>
    <xf numFmtId="0" fontId="101" fillId="0" borderId="0" xfId="0" applyFont="1" applyFill="1" applyAlignment="1">
      <alignment vertical="top"/>
    </xf>
    <xf numFmtId="0" fontId="101" fillId="0" borderId="0" xfId="0" applyFont="1" applyFill="1" applyBorder="1" applyAlignment="1">
      <alignment vertical="top"/>
    </xf>
    <xf numFmtId="0" fontId="102" fillId="0" borderId="10" xfId="0" applyFont="1" applyFill="1" applyBorder="1" applyAlignment="1">
      <alignment horizontal="center" vertical="top" wrapText="1"/>
    </xf>
    <xf numFmtId="0" fontId="102" fillId="0" borderId="21" xfId="0" applyFont="1" applyFill="1" applyBorder="1" applyAlignment="1">
      <alignment horizontal="center" vertical="top" wrapText="1"/>
    </xf>
    <xf numFmtId="0" fontId="102" fillId="0" borderId="2" xfId="0" applyFont="1" applyFill="1" applyBorder="1" applyAlignment="1">
      <alignment horizontal="center" vertical="top" wrapText="1"/>
    </xf>
    <xf numFmtId="0" fontId="102" fillId="0" borderId="9" xfId="0" applyFont="1" applyFill="1" applyBorder="1" applyAlignment="1">
      <alignment horizontal="center" vertical="top" wrapText="1"/>
    </xf>
    <xf numFmtId="187" fontId="103" fillId="0" borderId="10" xfId="3" applyNumberFormat="1" applyFont="1" applyBorder="1" applyAlignment="1">
      <alignment vertical="top" wrapText="1"/>
    </xf>
    <xf numFmtId="0" fontId="102" fillId="6" borderId="10" xfId="0" applyFont="1" applyFill="1" applyBorder="1" applyAlignment="1">
      <alignment horizontal="center" vertical="top" wrapText="1"/>
    </xf>
    <xf numFmtId="0" fontId="97" fillId="6" borderId="10" xfId="2" applyFont="1" applyFill="1" applyBorder="1" applyAlignment="1">
      <alignment vertical="top" wrapText="1"/>
    </xf>
    <xf numFmtId="0" fontId="102" fillId="6" borderId="10" xfId="0" applyFont="1" applyFill="1" applyBorder="1" applyAlignment="1">
      <alignment horizontal="center" vertical="center" wrapText="1"/>
    </xf>
    <xf numFmtId="187" fontId="97" fillId="6" borderId="10" xfId="3" applyNumberFormat="1" applyFont="1" applyFill="1" applyBorder="1" applyAlignment="1">
      <alignment vertical="top" wrapText="1"/>
    </xf>
    <xf numFmtId="0" fontId="111" fillId="6" borderId="10" xfId="2" applyFont="1" applyFill="1" applyBorder="1" applyAlignment="1">
      <alignment horizontal="left" vertical="top" wrapText="1" indent="1"/>
    </xf>
    <xf numFmtId="187" fontId="111" fillId="6" borderId="10" xfId="3" applyNumberFormat="1" applyFont="1" applyFill="1" applyBorder="1" applyAlignment="1">
      <alignment vertical="top" wrapText="1"/>
    </xf>
    <xf numFmtId="0" fontId="102" fillId="6" borderId="21" xfId="0" applyFont="1" applyFill="1" applyBorder="1" applyAlignment="1">
      <alignment horizontal="center" vertical="top" wrapText="1"/>
    </xf>
    <xf numFmtId="0" fontId="111" fillId="6" borderId="21" xfId="2" applyFont="1" applyFill="1" applyBorder="1" applyAlignment="1">
      <alignment horizontal="left" vertical="top" wrapText="1" indent="1"/>
    </xf>
    <xf numFmtId="0" fontId="102" fillId="6" borderId="21" xfId="0" applyFont="1" applyFill="1" applyBorder="1" applyAlignment="1">
      <alignment horizontal="center" vertical="center" wrapText="1"/>
    </xf>
    <xf numFmtId="187" fontId="111" fillId="6" borderId="21" xfId="3" applyNumberFormat="1" applyFont="1" applyFill="1" applyBorder="1" applyAlignment="1">
      <alignment vertical="top" wrapText="1"/>
    </xf>
    <xf numFmtId="0" fontId="95" fillId="0" borderId="22" xfId="2" applyFont="1" applyBorder="1" applyAlignment="1">
      <alignment horizontal="center" vertical="top" wrapText="1"/>
    </xf>
    <xf numFmtId="0" fontId="103" fillId="0" borderId="22" xfId="0" applyFont="1" applyFill="1" applyBorder="1" applyAlignment="1">
      <alignment horizontal="center" vertical="top" wrapText="1"/>
    </xf>
    <xf numFmtId="0" fontId="95" fillId="0" borderId="22" xfId="2" applyFont="1" applyBorder="1" applyAlignment="1">
      <alignment vertical="top" wrapText="1"/>
    </xf>
    <xf numFmtId="0" fontId="102" fillId="0" borderId="22" xfId="0" applyFont="1" applyFill="1" applyBorder="1" applyAlignment="1">
      <alignment horizontal="center" vertical="center" wrapText="1"/>
    </xf>
    <xf numFmtId="187" fontId="95" fillId="0" borderId="22" xfId="3" applyNumberFormat="1" applyFont="1" applyBorder="1" applyAlignment="1">
      <alignment vertical="top" wrapText="1"/>
    </xf>
    <xf numFmtId="187" fontId="95" fillId="0" borderId="22" xfId="4" applyNumberFormat="1" applyFont="1" applyBorder="1" applyAlignment="1">
      <alignment vertical="top" wrapText="1"/>
    </xf>
    <xf numFmtId="0" fontId="103" fillId="0" borderId="0" xfId="0" applyFont="1" applyFill="1" applyAlignment="1">
      <alignment vertical="top" wrapText="1"/>
    </xf>
    <xf numFmtId="0" fontId="101" fillId="0" borderId="1" xfId="0" applyFont="1" applyFill="1" applyBorder="1" applyAlignment="1">
      <alignment vertical="top" wrapText="1"/>
    </xf>
    <xf numFmtId="0" fontId="102" fillId="0" borderId="22" xfId="0" applyFont="1" applyFill="1" applyBorder="1" applyAlignment="1">
      <alignment horizontal="center" vertical="top" wrapText="1"/>
    </xf>
    <xf numFmtId="49" fontId="104" fillId="6" borderId="10" xfId="2" applyNumberFormat="1" applyFont="1" applyFill="1" applyBorder="1" applyAlignment="1">
      <alignment horizontal="center" vertical="top" wrapText="1"/>
    </xf>
    <xf numFmtId="0" fontId="95" fillId="0" borderId="2" xfId="2" applyFont="1" applyBorder="1" applyAlignment="1">
      <alignment horizontal="center" vertical="top"/>
    </xf>
    <xf numFmtId="0" fontId="103" fillId="0" borderId="2" xfId="0" applyFont="1" applyFill="1" applyBorder="1" applyAlignment="1">
      <alignment horizontal="center" vertical="top" wrapText="1"/>
    </xf>
    <xf numFmtId="0" fontId="95" fillId="0" borderId="6" xfId="2" applyFont="1" applyBorder="1" applyAlignment="1">
      <alignment horizontal="center" vertical="top"/>
    </xf>
    <xf numFmtId="0" fontId="103" fillId="0" borderId="6" xfId="0" applyFont="1" applyFill="1" applyBorder="1" applyAlignment="1">
      <alignment horizontal="center" vertical="top" wrapText="1"/>
    </xf>
    <xf numFmtId="0" fontId="96" fillId="0" borderId="6" xfId="2" applyFont="1" applyBorder="1" applyAlignment="1">
      <alignment horizontal="center" vertical="top"/>
    </xf>
    <xf numFmtId="0" fontId="102" fillId="0" borderId="6" xfId="0" applyFont="1" applyFill="1" applyBorder="1" applyAlignment="1">
      <alignment horizontal="center" vertical="top" wrapText="1"/>
    </xf>
    <xf numFmtId="0" fontId="100" fillId="0" borderId="6" xfId="2" applyFont="1" applyBorder="1" applyAlignment="1">
      <alignment horizontal="center" vertical="top"/>
    </xf>
    <xf numFmtId="0" fontId="102" fillId="0" borderId="6" xfId="2" applyFont="1" applyBorder="1" applyAlignment="1">
      <alignment horizontal="center" vertical="top" wrapText="1"/>
    </xf>
    <xf numFmtId="0" fontId="102" fillId="0" borderId="9" xfId="2" applyFont="1" applyBorder="1" applyAlignment="1">
      <alignment horizontal="center" vertical="top" wrapText="1"/>
    </xf>
    <xf numFmtId="0" fontId="102" fillId="0" borderId="2" xfId="2" applyFont="1" applyBorder="1" applyAlignment="1">
      <alignment horizontal="center" vertical="top" wrapText="1"/>
    </xf>
    <xf numFmtId="0" fontId="100" fillId="0" borderId="6" xfId="2" applyFont="1" applyBorder="1" applyAlignment="1">
      <alignment horizontal="center" vertical="top" wrapText="1"/>
    </xf>
    <xf numFmtId="0" fontId="100" fillId="0" borderId="23" xfId="2" applyFont="1" applyBorder="1" applyAlignment="1">
      <alignment horizontal="center" vertical="top" wrapText="1"/>
    </xf>
    <xf numFmtId="0" fontId="102" fillId="0" borderId="23" xfId="0" applyFont="1" applyFill="1" applyBorder="1" applyAlignment="1">
      <alignment horizontal="center" vertical="top" wrapText="1"/>
    </xf>
    <xf numFmtId="0" fontId="96" fillId="2" borderId="24" xfId="2" applyFont="1" applyFill="1" applyBorder="1" applyAlignment="1">
      <alignment horizontal="center" vertical="top" wrapText="1"/>
    </xf>
    <xf numFmtId="0" fontId="103" fillId="2" borderId="24" xfId="2" applyFont="1" applyFill="1" applyBorder="1" applyAlignment="1">
      <alignment horizontal="center" vertical="top" wrapText="1"/>
    </xf>
    <xf numFmtId="0" fontId="96" fillId="2" borderId="6" xfId="2" applyFont="1" applyFill="1" applyBorder="1" applyAlignment="1">
      <alignment horizontal="center" vertical="top" wrapText="1"/>
    </xf>
    <xf numFmtId="0" fontId="96" fillId="2" borderId="6" xfId="2" applyFont="1" applyFill="1" applyBorder="1" applyAlignment="1">
      <alignment horizontal="center" vertical="top"/>
    </xf>
    <xf numFmtId="0" fontId="96" fillId="2" borderId="23" xfId="2" applyFont="1" applyFill="1" applyBorder="1" applyAlignment="1">
      <alignment horizontal="center" vertical="top"/>
    </xf>
    <xf numFmtId="0" fontId="95" fillId="0" borderId="24" xfId="2" applyFont="1" applyBorder="1" applyAlignment="1">
      <alignment horizontal="center" vertical="top"/>
    </xf>
    <xf numFmtId="0" fontId="103" fillId="0" borderId="24" xfId="0" applyFont="1" applyFill="1" applyBorder="1" applyAlignment="1">
      <alignment horizontal="center" vertical="top" wrapText="1"/>
    </xf>
    <xf numFmtId="0" fontId="96" fillId="0" borderId="23" xfId="2" applyFont="1" applyBorder="1" applyAlignment="1">
      <alignment horizontal="center" vertical="top"/>
    </xf>
    <xf numFmtId="0" fontId="96" fillId="0" borderId="23" xfId="2" applyFont="1" applyBorder="1" applyAlignment="1">
      <alignment horizontal="center" vertical="top" wrapText="1"/>
    </xf>
    <xf numFmtId="0" fontId="96" fillId="0" borderId="6" xfId="2" applyFont="1" applyBorder="1" applyAlignment="1">
      <alignment horizontal="center" vertical="top" wrapText="1"/>
    </xf>
    <xf numFmtId="0" fontId="96" fillId="0" borderId="9" xfId="2" applyFont="1" applyBorder="1" applyAlignment="1">
      <alignment horizontal="left" vertical="top" wrapText="1" indent="3"/>
    </xf>
    <xf numFmtId="0" fontId="99" fillId="6" borderId="6" xfId="2" applyFont="1" applyFill="1" applyBorder="1" applyAlignment="1">
      <alignment horizontal="center" vertical="top" wrapText="1"/>
    </xf>
    <xf numFmtId="0" fontId="102" fillId="6" borderId="6" xfId="2" applyFont="1" applyFill="1" applyBorder="1" applyAlignment="1">
      <alignment horizontal="center" vertical="top" wrapText="1"/>
    </xf>
    <xf numFmtId="0" fontId="102" fillId="6" borderId="9" xfId="2" applyFont="1" applyFill="1" applyBorder="1" applyAlignment="1">
      <alignment horizontal="center" vertical="top" wrapText="1"/>
    </xf>
    <xf numFmtId="0" fontId="102" fillId="6" borderId="2" xfId="2" applyFont="1" applyFill="1" applyBorder="1" applyAlignment="1">
      <alignment horizontal="center" vertical="top" wrapText="1"/>
    </xf>
    <xf numFmtId="0" fontId="102" fillId="6" borderId="23" xfId="2" applyFont="1" applyFill="1" applyBorder="1" applyAlignment="1">
      <alignment horizontal="center" vertical="top" wrapText="1"/>
    </xf>
    <xf numFmtId="0" fontId="102" fillId="0" borderId="9" xfId="2" applyFont="1" applyBorder="1" applyAlignment="1">
      <alignment horizontal="left" vertical="top" wrapText="1" indent="3"/>
    </xf>
    <xf numFmtId="187" fontId="96" fillId="0" borderId="9" xfId="3" applyNumberFormat="1" applyFont="1" applyBorder="1" applyAlignment="1">
      <alignment vertical="top" wrapText="1"/>
    </xf>
    <xf numFmtId="0" fontId="96" fillId="0" borderId="9" xfId="2" applyFont="1" applyBorder="1" applyAlignment="1">
      <alignment horizontal="center" vertical="top" wrapText="1"/>
    </xf>
    <xf numFmtId="49" fontId="104" fillId="0" borderId="22" xfId="2" applyNumberFormat="1" applyFont="1" applyBorder="1" applyAlignment="1">
      <alignment horizontal="center" vertical="top" wrapText="1"/>
    </xf>
    <xf numFmtId="49" fontId="104" fillId="0" borderId="23" xfId="2" applyNumberFormat="1" applyFont="1" applyBorder="1" applyAlignment="1">
      <alignment horizontal="center" vertical="top" wrapText="1"/>
    </xf>
    <xf numFmtId="49" fontId="104" fillId="6" borderId="21" xfId="2" applyNumberFormat="1" applyFont="1" applyFill="1" applyBorder="1" applyAlignment="1">
      <alignment horizontal="center" vertical="top" wrapText="1"/>
    </xf>
    <xf numFmtId="0" fontId="112" fillId="0" borderId="22" xfId="2" applyFont="1" applyBorder="1" applyAlignment="1">
      <alignment horizontal="center" vertical="top" wrapText="1"/>
    </xf>
    <xf numFmtId="0" fontId="113" fillId="0" borderId="22" xfId="0" applyFont="1" applyFill="1" applyBorder="1" applyAlignment="1">
      <alignment horizontal="center" vertical="top" wrapText="1"/>
    </xf>
    <xf numFmtId="0" fontId="112" fillId="0" borderId="22" xfId="2" applyFont="1" applyBorder="1" applyAlignment="1">
      <alignment vertical="top" wrapText="1"/>
    </xf>
    <xf numFmtId="49" fontId="114" fillId="0" borderId="22" xfId="2" applyNumberFormat="1" applyFont="1" applyBorder="1" applyAlignment="1">
      <alignment horizontal="center" vertical="top" wrapText="1"/>
    </xf>
    <xf numFmtId="0" fontId="115" fillId="0" borderId="22" xfId="0" applyFont="1" applyFill="1" applyBorder="1" applyAlignment="1">
      <alignment horizontal="center" vertical="center" wrapText="1"/>
    </xf>
    <xf numFmtId="0" fontId="115" fillId="0" borderId="22" xfId="0" applyFont="1" applyFill="1" applyBorder="1" applyAlignment="1">
      <alignment horizontal="center" vertical="top" wrapText="1"/>
    </xf>
    <xf numFmtId="187" fontId="112" fillId="0" borderId="22" xfId="3" applyNumberFormat="1" applyFont="1" applyBorder="1" applyAlignment="1">
      <alignment vertical="top" wrapText="1"/>
    </xf>
    <xf numFmtId="0" fontId="115" fillId="0" borderId="0" xfId="0" applyFont="1" applyFill="1" applyAlignment="1">
      <alignment horizontal="center" vertical="center" wrapText="1"/>
    </xf>
    <xf numFmtId="187" fontId="116" fillId="6" borderId="10" xfId="3" applyNumberFormat="1" applyFont="1" applyFill="1" applyBorder="1" applyAlignment="1">
      <alignment vertical="top" wrapText="1"/>
    </xf>
    <xf numFmtId="187" fontId="117" fillId="6" borderId="10" xfId="3" applyNumberFormat="1" applyFont="1" applyFill="1" applyBorder="1" applyAlignment="1">
      <alignment vertical="top" wrapText="1"/>
    </xf>
    <xf numFmtId="187" fontId="117" fillId="6" borderId="21" xfId="3" applyNumberFormat="1" applyFont="1" applyFill="1" applyBorder="1" applyAlignment="1">
      <alignment vertical="top" wrapText="1"/>
    </xf>
    <xf numFmtId="0" fontId="102" fillId="0" borderId="9" xfId="2" applyFont="1" applyBorder="1" applyAlignment="1">
      <alignment horizontal="left" vertical="top" wrapText="1" indent="6"/>
    </xf>
    <xf numFmtId="0" fontId="100" fillId="0" borderId="9" xfId="2" applyFont="1" applyBorder="1" applyAlignment="1">
      <alignment horizontal="center" vertical="top" wrapText="1"/>
    </xf>
    <xf numFmtId="188" fontId="95" fillId="0" borderId="5" xfId="0" quotePrefix="1" applyNumberFormat="1" applyFont="1" applyFill="1" applyBorder="1" applyAlignment="1">
      <alignment horizontal="center" vertical="center" wrapText="1"/>
    </xf>
    <xf numFmtId="0" fontId="102" fillId="0" borderId="5" xfId="0" applyFont="1" applyFill="1" applyBorder="1" applyAlignment="1">
      <alignment horizontal="center" vertical="center" wrapText="1"/>
    </xf>
    <xf numFmtId="0" fontId="102" fillId="0" borderId="6" xfId="2" applyNumberFormat="1" applyFont="1" applyBorder="1" applyAlignment="1">
      <alignment vertical="top" wrapText="1"/>
    </xf>
    <xf numFmtId="0" fontId="102" fillId="0" borderId="10" xfId="0" applyNumberFormat="1" applyFont="1" applyFill="1" applyBorder="1" applyAlignment="1">
      <alignment vertical="top" wrapText="1"/>
    </xf>
    <xf numFmtId="0" fontId="102" fillId="0" borderId="10" xfId="2" applyNumberFormat="1" applyFont="1" applyBorder="1" applyAlignment="1">
      <alignment vertical="top" wrapText="1"/>
    </xf>
    <xf numFmtId="0" fontId="102" fillId="0" borderId="10" xfId="3" applyNumberFormat="1" applyFont="1" applyBorder="1" applyAlignment="1">
      <alignment vertical="top" wrapText="1"/>
    </xf>
    <xf numFmtId="0" fontId="102" fillId="0" borderId="0" xfId="0" applyNumberFormat="1" applyFont="1" applyFill="1" applyAlignment="1">
      <alignment vertical="top" wrapText="1"/>
    </xf>
    <xf numFmtId="0" fontId="102" fillId="0" borderId="10" xfId="0" applyNumberFormat="1" applyFont="1" applyFill="1" applyBorder="1" applyAlignment="1">
      <alignment horizontal="left" vertical="top" wrapText="1"/>
    </xf>
    <xf numFmtId="0" fontId="118" fillId="0" borderId="10" xfId="0" applyNumberFormat="1" applyFont="1" applyFill="1" applyBorder="1" applyAlignment="1">
      <alignment horizontal="left" vertical="top" wrapText="1"/>
    </xf>
    <xf numFmtId="0" fontId="102" fillId="0" borderId="10" xfId="0" applyFont="1" applyFill="1" applyBorder="1" applyAlignment="1">
      <alignment horizontal="left" vertical="top" wrapText="1"/>
    </xf>
    <xf numFmtId="0" fontId="110" fillId="0" borderId="0" xfId="0" applyFont="1" applyAlignment="1">
      <alignment horizontal="left" vertical="top" wrapText="1"/>
    </xf>
    <xf numFmtId="0" fontId="102" fillId="7" borderId="10" xfId="0" applyFont="1" applyFill="1" applyBorder="1" applyAlignment="1">
      <alignment horizontal="center" vertical="center" wrapText="1"/>
    </xf>
    <xf numFmtId="0" fontId="102" fillId="0" borderId="6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96" fillId="9" borderId="10" xfId="2" applyFont="1" applyFill="1" applyBorder="1" applyAlignment="1">
      <alignment horizontal="center" vertical="center" wrapText="1"/>
    </xf>
    <xf numFmtId="0" fontId="96" fillId="9" borderId="10" xfId="0" applyFont="1" applyFill="1" applyBorder="1" applyAlignment="1">
      <alignment horizontal="center" vertical="center" wrapText="1"/>
    </xf>
    <xf numFmtId="0" fontId="122" fillId="9" borderId="10" xfId="2" applyFont="1" applyFill="1" applyBorder="1" applyAlignment="1">
      <alignment horizontal="left" vertical="center" wrapText="1"/>
    </xf>
    <xf numFmtId="49" fontId="122" fillId="9" borderId="10" xfId="2" applyNumberFormat="1" applyFont="1" applyFill="1" applyBorder="1" applyAlignment="1">
      <alignment horizontal="center" vertical="center" wrapText="1"/>
    </xf>
    <xf numFmtId="0" fontId="122" fillId="9" borderId="10" xfId="0" applyFont="1" applyFill="1" applyBorder="1" applyAlignment="1">
      <alignment horizontal="center" vertical="center" wrapText="1"/>
    </xf>
    <xf numFmtId="187" fontId="122" fillId="9" borderId="10" xfId="3" applyNumberFormat="1" applyFont="1" applyFill="1" applyBorder="1" applyAlignment="1">
      <alignment horizontal="right" vertical="center" wrapText="1"/>
    </xf>
    <xf numFmtId="3" fontId="122" fillId="9" borderId="10" xfId="0" applyNumberFormat="1" applyFont="1" applyFill="1" applyBorder="1" applyAlignment="1">
      <alignment horizontal="right" vertical="center" wrapText="1"/>
    </xf>
    <xf numFmtId="0" fontId="123" fillId="10" borderId="10" xfId="0" applyFont="1" applyFill="1" applyBorder="1" applyAlignment="1">
      <alignment vertical="top" wrapText="1"/>
    </xf>
    <xf numFmtId="0" fontId="119" fillId="10" borderId="10" xfId="0" applyFont="1" applyFill="1" applyBorder="1" applyAlignment="1">
      <alignment vertical="top" wrapText="1"/>
    </xf>
    <xf numFmtId="0" fontId="96" fillId="10" borderId="10" xfId="2" applyFont="1" applyFill="1" applyBorder="1" applyAlignment="1">
      <alignment vertical="top" wrapText="1"/>
    </xf>
    <xf numFmtId="49" fontId="95" fillId="10" borderId="10" xfId="2" applyNumberFormat="1" applyFont="1" applyFill="1" applyBorder="1" applyAlignment="1">
      <alignment vertical="top" wrapText="1"/>
    </xf>
    <xf numFmtId="49" fontId="121" fillId="10" borderId="10" xfId="2" applyNumberFormat="1" applyFont="1" applyFill="1" applyBorder="1" applyAlignment="1">
      <alignment vertical="top" wrapText="1"/>
    </xf>
    <xf numFmtId="0" fontId="95" fillId="10" borderId="10" xfId="0" applyFont="1" applyFill="1" applyBorder="1" applyAlignment="1">
      <alignment vertical="top" wrapText="1"/>
    </xf>
    <xf numFmtId="3" fontId="124" fillId="1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23" fillId="11" borderId="10" xfId="0" applyFont="1" applyFill="1" applyBorder="1" applyAlignment="1">
      <alignment vertical="top" wrapText="1"/>
    </xf>
    <xf numFmtId="0" fontId="119" fillId="11" borderId="10" xfId="0" applyFont="1" applyFill="1" applyBorder="1" applyAlignment="1">
      <alignment vertical="top" wrapText="1"/>
    </xf>
    <xf numFmtId="49" fontId="95" fillId="11" borderId="10" xfId="2" applyNumberFormat="1" applyFont="1" applyFill="1" applyBorder="1" applyAlignment="1">
      <alignment vertical="top" wrapText="1"/>
    </xf>
    <xf numFmtId="11" fontId="121" fillId="11" borderId="10" xfId="2" applyNumberFormat="1" applyFont="1" applyFill="1" applyBorder="1" applyAlignment="1">
      <alignment vertical="top" wrapText="1"/>
    </xf>
    <xf numFmtId="0" fontId="95" fillId="11" borderId="10" xfId="0" applyFont="1" applyFill="1" applyBorder="1" applyAlignment="1">
      <alignment vertical="top" wrapText="1"/>
    </xf>
    <xf numFmtId="3" fontId="124" fillId="11" borderId="10" xfId="0" applyNumberFormat="1" applyFont="1" applyFill="1" applyBorder="1" applyAlignment="1">
      <alignment vertical="top" wrapText="1"/>
    </xf>
    <xf numFmtId="0" fontId="123" fillId="12" borderId="10" xfId="0" applyFont="1" applyFill="1" applyBorder="1" applyAlignment="1">
      <alignment vertical="top" wrapText="1"/>
    </xf>
    <xf numFmtId="0" fontId="119" fillId="12" borderId="10" xfId="0" applyFont="1" applyFill="1" applyBorder="1" applyAlignment="1">
      <alignment vertical="top" wrapText="1"/>
    </xf>
    <xf numFmtId="49" fontId="95" fillId="12" borderId="10" xfId="2" applyNumberFormat="1" applyFont="1" applyFill="1" applyBorder="1" applyAlignment="1">
      <alignment vertical="top" wrapText="1"/>
    </xf>
    <xf numFmtId="0" fontId="95" fillId="12" borderId="10" xfId="0" applyFont="1" applyFill="1" applyBorder="1" applyAlignment="1">
      <alignment vertical="top" wrapText="1"/>
    </xf>
    <xf numFmtId="3" fontId="124" fillId="12" borderId="10" xfId="0" applyNumberFormat="1" applyFont="1" applyFill="1" applyBorder="1" applyAlignment="1">
      <alignment vertical="top" wrapText="1"/>
    </xf>
    <xf numFmtId="0" fontId="123" fillId="8" borderId="10" xfId="0" applyFont="1" applyFill="1" applyBorder="1" applyAlignment="1">
      <alignment vertical="top" wrapText="1"/>
    </xf>
    <xf numFmtId="0" fontId="119" fillId="8" borderId="10" xfId="0" applyFont="1" applyFill="1" applyBorder="1" applyAlignment="1">
      <alignment vertical="top" wrapText="1"/>
    </xf>
    <xf numFmtId="49" fontId="95" fillId="8" borderId="10" xfId="2" applyNumberFormat="1" applyFont="1" applyFill="1" applyBorder="1" applyAlignment="1">
      <alignment vertical="top" wrapText="1"/>
    </xf>
    <xf numFmtId="49" fontId="121" fillId="8" borderId="10" xfId="2" applyNumberFormat="1" applyFont="1" applyFill="1" applyBorder="1" applyAlignment="1">
      <alignment vertical="top" wrapText="1"/>
    </xf>
    <xf numFmtId="0" fontId="95" fillId="8" borderId="10" xfId="0" applyFont="1" applyFill="1" applyBorder="1" applyAlignment="1">
      <alignment vertical="top" wrapText="1"/>
    </xf>
    <xf numFmtId="3" fontId="124" fillId="8" borderId="10" xfId="0" applyNumberFormat="1" applyFont="1" applyFill="1" applyBorder="1" applyAlignment="1">
      <alignment vertical="top" wrapText="1"/>
    </xf>
    <xf numFmtId="0" fontId="124" fillId="8" borderId="10" xfId="0" applyFont="1" applyFill="1" applyBorder="1" applyAlignment="1">
      <alignment vertical="top" wrapText="1"/>
    </xf>
    <xf numFmtId="49" fontId="103" fillId="8" borderId="10" xfId="2" applyNumberFormat="1" applyFont="1" applyFill="1" applyBorder="1" applyAlignment="1">
      <alignment vertical="top" wrapText="1"/>
    </xf>
    <xf numFmtId="49" fontId="125" fillId="9" borderId="10" xfId="2" applyNumberFormat="1" applyFont="1" applyFill="1" applyBorder="1" applyAlignment="1">
      <alignment horizontal="center" vertical="center" wrapText="1"/>
    </xf>
    <xf numFmtId="49" fontId="104" fillId="10" borderId="10" xfId="2" applyNumberFormat="1" applyFont="1" applyFill="1" applyBorder="1" applyAlignment="1">
      <alignment vertical="top" wrapText="1"/>
    </xf>
    <xf numFmtId="49" fontId="104" fillId="11" borderId="10" xfId="2" applyNumberFormat="1" applyFont="1" applyFill="1" applyBorder="1" applyAlignment="1">
      <alignment vertical="top" wrapText="1"/>
    </xf>
    <xf numFmtId="49" fontId="104" fillId="12" borderId="10" xfId="2" applyNumberFormat="1" applyFont="1" applyFill="1" applyBorder="1" applyAlignment="1">
      <alignment vertical="top" wrapText="1"/>
    </xf>
    <xf numFmtId="49" fontId="104" fillId="8" borderId="10" xfId="2" applyNumberFormat="1" applyFont="1" applyFill="1" applyBorder="1" applyAlignment="1">
      <alignment vertical="top" wrapText="1"/>
    </xf>
    <xf numFmtId="0" fontId="102" fillId="0" borderId="19" xfId="0" applyNumberFormat="1" applyFont="1" applyFill="1" applyBorder="1" applyAlignment="1">
      <alignment horizontal="left" vertical="top" wrapText="1"/>
    </xf>
    <xf numFmtId="0" fontId="102" fillId="0" borderId="20" xfId="0" applyNumberFormat="1" applyFont="1" applyFill="1" applyBorder="1" applyAlignment="1">
      <alignment horizontal="left" vertical="top" wrapText="1"/>
    </xf>
    <xf numFmtId="0" fontId="102" fillId="0" borderId="9" xfId="0" applyNumberFormat="1" applyFont="1" applyFill="1" applyBorder="1" applyAlignment="1">
      <alignment horizontal="left" vertical="top" wrapText="1"/>
    </xf>
    <xf numFmtId="0" fontId="102" fillId="0" borderId="9" xfId="0" applyNumberFormat="1" applyFont="1" applyFill="1" applyBorder="1" applyAlignment="1">
      <alignment vertical="top" wrapText="1"/>
    </xf>
    <xf numFmtId="0" fontId="102" fillId="0" borderId="10" xfId="0" applyNumberFormat="1" applyFont="1" applyBorder="1" applyAlignment="1">
      <alignment vertical="top" wrapText="1"/>
    </xf>
    <xf numFmtId="0" fontId="95" fillId="0" borderId="23" xfId="2" applyFont="1" applyBorder="1" applyAlignment="1">
      <alignment horizontal="center" vertical="top" wrapText="1"/>
    </xf>
    <xf numFmtId="0" fontId="103" fillId="0" borderId="23" xfId="0" applyFont="1" applyFill="1" applyBorder="1" applyAlignment="1">
      <alignment horizontal="center" vertical="top" wrapText="1"/>
    </xf>
    <xf numFmtId="0" fontId="95" fillId="0" borderId="23" xfId="2" applyFont="1" applyBorder="1" applyAlignment="1">
      <alignment vertical="top" wrapText="1"/>
    </xf>
    <xf numFmtId="187" fontId="95" fillId="0" borderId="23" xfId="4" applyNumberFormat="1" applyFont="1" applyBorder="1" applyAlignment="1">
      <alignment vertical="top" wrapText="1"/>
    </xf>
    <xf numFmtId="0" fontId="96" fillId="0" borderId="22" xfId="0" applyNumberFormat="1" applyFont="1" applyFill="1" applyBorder="1" applyAlignment="1">
      <alignment vertical="top" wrapText="1"/>
    </xf>
    <xf numFmtId="0" fontId="123" fillId="0" borderId="25" xfId="0" applyFont="1" applyBorder="1" applyAlignment="1">
      <alignment vertical="top" wrapText="1"/>
    </xf>
    <xf numFmtId="0" fontId="96" fillId="0" borderId="22" xfId="0" applyNumberFormat="1" applyFont="1" applyBorder="1" applyAlignment="1">
      <alignment vertical="top" wrapText="1"/>
    </xf>
    <xf numFmtId="0" fontId="102" fillId="0" borderId="22" xfId="0" applyNumberFormat="1" applyFont="1" applyFill="1" applyBorder="1" applyAlignment="1">
      <alignment vertical="top" wrapText="1"/>
    </xf>
    <xf numFmtId="0" fontId="102" fillId="0" borderId="22" xfId="0" applyNumberFormat="1" applyFont="1" applyBorder="1" applyAlignment="1">
      <alignment vertical="top" wrapText="1"/>
    </xf>
    <xf numFmtId="0" fontId="102" fillId="0" borderId="18" xfId="0" applyFont="1" applyFill="1" applyBorder="1" applyAlignment="1">
      <alignment vertical="top" wrapText="1"/>
    </xf>
    <xf numFmtId="0" fontId="102" fillId="6" borderId="10" xfId="0" applyFont="1" applyFill="1" applyBorder="1" applyAlignment="1">
      <alignment vertical="top" wrapText="1"/>
    </xf>
    <xf numFmtId="0" fontId="128" fillId="0" borderId="9" xfId="0" applyNumberFormat="1" applyFont="1" applyBorder="1" applyAlignment="1">
      <alignment vertical="top" wrapText="1"/>
    </xf>
    <xf numFmtId="0" fontId="128" fillId="0" borderId="10" xfId="0" applyNumberFormat="1" applyFont="1" applyBorder="1" applyAlignment="1">
      <alignment vertical="top" wrapText="1"/>
    </xf>
    <xf numFmtId="0" fontId="128" fillId="13" borderId="10" xfId="0" applyNumberFormat="1" applyFont="1" applyFill="1" applyBorder="1" applyAlignment="1">
      <alignment horizontal="left" vertical="top" wrapText="1"/>
    </xf>
    <xf numFmtId="0" fontId="129" fillId="0" borderId="10" xfId="0" applyFont="1" applyFill="1" applyBorder="1" applyAlignment="1">
      <alignment horizontal="left" vertical="top" wrapText="1"/>
    </xf>
    <xf numFmtId="0" fontId="129" fillId="0" borderId="9" xfId="0" applyNumberFormat="1" applyFont="1" applyBorder="1" applyAlignment="1">
      <alignment vertical="top" wrapText="1"/>
    </xf>
    <xf numFmtId="0" fontId="129" fillId="0" borderId="10" xfId="0" applyNumberFormat="1" applyFont="1" applyFill="1" applyBorder="1" applyAlignment="1">
      <alignment vertical="top" wrapText="1"/>
    </xf>
    <xf numFmtId="0" fontId="127" fillId="0" borderId="10" xfId="0" applyFont="1" applyFill="1" applyBorder="1" applyAlignment="1">
      <alignment horizontal="left" vertical="center" wrapText="1"/>
    </xf>
    <xf numFmtId="0" fontId="127" fillId="0" borderId="10" xfId="0" applyFont="1" applyFill="1" applyBorder="1" applyAlignment="1">
      <alignment horizontal="left" vertical="top" wrapText="1"/>
    </xf>
    <xf numFmtId="0" fontId="128" fillId="6" borderId="9" xfId="0" applyNumberFormat="1" applyFont="1" applyFill="1" applyBorder="1" applyAlignment="1">
      <alignment vertical="top" wrapText="1"/>
    </xf>
    <xf numFmtId="49" fontId="128" fillId="6" borderId="10" xfId="0" applyNumberFormat="1" applyFont="1" applyFill="1" applyBorder="1" applyAlignment="1">
      <alignment horizontal="left" vertical="top" wrapText="1"/>
    </xf>
    <xf numFmtId="0" fontId="126" fillId="13" borderId="10" xfId="0" applyFont="1" applyFill="1" applyBorder="1" applyAlignment="1">
      <alignment horizontal="left" vertical="top" wrapText="1"/>
    </xf>
    <xf numFmtId="0" fontId="126" fillId="13" borderId="10" xfId="0" applyFont="1" applyFill="1" applyBorder="1" applyAlignment="1">
      <alignment vertical="top" wrapText="1"/>
    </xf>
    <xf numFmtId="49" fontId="126" fillId="6" borderId="10" xfId="2" applyNumberFormat="1" applyFont="1" applyFill="1" applyBorder="1" applyAlignment="1">
      <alignment horizontal="left" vertical="top" wrapText="1"/>
    </xf>
    <xf numFmtId="0" fontId="126" fillId="6" borderId="10" xfId="0" applyFont="1" applyFill="1" applyBorder="1" applyAlignment="1">
      <alignment horizontal="left" vertical="top" wrapText="1"/>
    </xf>
    <xf numFmtId="0" fontId="118" fillId="0" borderId="10" xfId="0" applyFont="1" applyFill="1" applyBorder="1" applyAlignment="1">
      <alignment horizontal="left" vertical="center" wrapText="1"/>
    </xf>
    <xf numFmtId="0" fontId="103" fillId="0" borderId="22" xfId="0" applyFont="1" applyFill="1" applyBorder="1" applyAlignment="1">
      <alignment vertical="top" wrapText="1"/>
    </xf>
    <xf numFmtId="49" fontId="104" fillId="0" borderId="22" xfId="2" applyNumberFormat="1" applyFont="1" applyBorder="1" applyAlignment="1">
      <alignment vertical="top" wrapText="1"/>
    </xf>
    <xf numFmtId="0" fontId="118" fillId="0" borderId="22" xfId="0" applyFont="1" applyFill="1" applyBorder="1" applyAlignment="1">
      <alignment vertical="top" wrapText="1"/>
    </xf>
    <xf numFmtId="0" fontId="102" fillId="0" borderId="22" xfId="0" applyFont="1" applyFill="1" applyBorder="1" applyAlignment="1">
      <alignment vertical="top" wrapText="1"/>
    </xf>
    <xf numFmtId="0" fontId="118" fillId="0" borderId="22" xfId="0" applyFont="1" applyFill="1" applyBorder="1" applyAlignment="1">
      <alignment horizontal="left" vertical="top" wrapText="1"/>
    </xf>
    <xf numFmtId="49" fontId="121" fillId="2" borderId="6" xfId="2" applyNumberFormat="1" applyFont="1" applyFill="1" applyBorder="1" applyAlignment="1">
      <alignment vertical="top" wrapText="1"/>
    </xf>
    <xf numFmtId="49" fontId="121" fillId="2" borderId="6" xfId="2" applyNumberFormat="1" applyFont="1" applyFill="1" applyBorder="1" applyAlignment="1">
      <alignment horizontal="left" vertical="top" wrapText="1"/>
    </xf>
    <xf numFmtId="187" fontId="96" fillId="0" borderId="9" xfId="3" applyNumberFormat="1" applyFont="1" applyBorder="1" applyAlignment="1">
      <alignment vertical="top"/>
    </xf>
    <xf numFmtId="0" fontId="95" fillId="0" borderId="26" xfId="2" applyFont="1" applyBorder="1" applyAlignment="1">
      <alignment vertical="top" wrapText="1"/>
    </xf>
    <xf numFmtId="49" fontId="104" fillId="0" borderId="24" xfId="2" applyNumberFormat="1" applyFont="1" applyBorder="1" applyAlignment="1">
      <alignment horizontal="center" vertical="top" wrapText="1"/>
    </xf>
    <xf numFmtId="0" fontId="102" fillId="0" borderId="26" xfId="0" applyFont="1" applyFill="1" applyBorder="1" applyAlignment="1">
      <alignment horizontal="center" vertical="top" wrapText="1"/>
    </xf>
    <xf numFmtId="187" fontId="95" fillId="5" borderId="26" xfId="3" applyNumberFormat="1" applyFont="1" applyFill="1" applyBorder="1" applyAlignment="1">
      <alignment vertical="top"/>
    </xf>
    <xf numFmtId="49" fontId="121" fillId="2" borderId="9" xfId="2" applyNumberFormat="1" applyFont="1" applyFill="1" applyBorder="1" applyAlignment="1">
      <alignment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/>
    </xf>
    <xf numFmtId="49" fontId="121" fillId="2" borderId="24" xfId="2" applyNumberFormat="1" applyFont="1" applyFill="1" applyBorder="1" applyAlignment="1">
      <alignment horizontal="left" vertical="top" wrapText="1"/>
    </xf>
    <xf numFmtId="49" fontId="121" fillId="2" borderId="6" xfId="2" applyNumberFormat="1" applyFont="1" applyFill="1" applyBorder="1" applyAlignment="1">
      <alignment horizontal="left" vertical="top" wrapText="1"/>
    </xf>
    <xf numFmtId="49" fontId="121" fillId="2" borderId="9" xfId="2" applyNumberFormat="1" applyFont="1" applyFill="1" applyBorder="1" applyAlignment="1">
      <alignment horizontal="left" vertical="top" wrapText="1"/>
    </xf>
    <xf numFmtId="0" fontId="126" fillId="0" borderId="24" xfId="0" applyFont="1" applyFill="1" applyBorder="1" applyAlignment="1">
      <alignment horizontal="left" vertical="top" wrapText="1"/>
    </xf>
    <xf numFmtId="0" fontId="126" fillId="0" borderId="6" xfId="0" applyFont="1" applyFill="1" applyBorder="1" applyAlignment="1">
      <alignment horizontal="left" vertical="top" wrapText="1"/>
    </xf>
    <xf numFmtId="0" fontId="126" fillId="0" borderId="23" xfId="0" applyFont="1" applyFill="1" applyBorder="1" applyAlignment="1">
      <alignment horizontal="left" vertical="top" wrapText="1"/>
    </xf>
    <xf numFmtId="49" fontId="95" fillId="10" borderId="2" xfId="2" applyNumberFormat="1" applyFont="1" applyFill="1" applyBorder="1" applyAlignment="1">
      <alignment vertical="top" wrapText="1"/>
    </xf>
    <xf numFmtId="49" fontId="95" fillId="10" borderId="9" xfId="2" applyNumberFormat="1" applyFont="1" applyFill="1" applyBorder="1" applyAlignment="1">
      <alignment vertical="top" wrapText="1"/>
    </xf>
    <xf numFmtId="0" fontId="127" fillId="0" borderId="2" xfId="0" applyFont="1" applyFill="1" applyBorder="1" applyAlignment="1">
      <alignment horizontal="left" vertical="top" wrapText="1"/>
    </xf>
    <xf numFmtId="0" fontId="127" fillId="0" borderId="6" xfId="0" applyFont="1" applyFill="1" applyBorder="1" applyAlignment="1">
      <alignment horizontal="left" vertical="top" wrapText="1"/>
    </xf>
    <xf numFmtId="0" fontId="127" fillId="0" borderId="9" xfId="0" applyFont="1" applyFill="1" applyBorder="1" applyAlignment="1">
      <alignment horizontal="left" vertical="top" wrapText="1"/>
    </xf>
    <xf numFmtId="0" fontId="126" fillId="0" borderId="2" xfId="0" applyFont="1" applyFill="1" applyBorder="1" applyAlignment="1">
      <alignment horizontal="left" vertical="top" wrapText="1"/>
    </xf>
    <xf numFmtId="0" fontId="126" fillId="0" borderId="9" xfId="0" applyFont="1" applyFill="1" applyBorder="1" applyAlignment="1">
      <alignment horizontal="left" vertical="top" wrapText="1"/>
    </xf>
    <xf numFmtId="0" fontId="103" fillId="0" borderId="2" xfId="0" applyFont="1" applyFill="1" applyBorder="1" applyAlignment="1">
      <alignment horizontal="center" vertical="center" wrapText="1"/>
    </xf>
    <xf numFmtId="0" fontId="103" fillId="0" borderId="6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95" fillId="0" borderId="6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 wrapText="1"/>
    </xf>
    <xf numFmtId="49" fontId="95" fillId="0" borderId="2" xfId="0" applyNumberFormat="1" applyFont="1" applyFill="1" applyBorder="1" applyAlignment="1">
      <alignment horizontal="center" vertical="center" wrapText="1"/>
    </xf>
    <xf numFmtId="49" fontId="95" fillId="0" borderId="6" xfId="0" applyNumberFormat="1" applyFont="1" applyFill="1" applyBorder="1" applyAlignment="1">
      <alignment horizontal="center" vertical="center" wrapText="1"/>
    </xf>
    <xf numFmtId="49" fontId="95" fillId="0" borderId="9" xfId="0" applyNumberFormat="1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center" vertical="center" wrapText="1"/>
    </xf>
    <xf numFmtId="0" fontId="104" fillId="0" borderId="6" xfId="0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top" wrapText="1"/>
    </xf>
    <xf numFmtId="0" fontId="95" fillId="0" borderId="6" xfId="0" applyFont="1" applyFill="1" applyBorder="1" applyAlignment="1">
      <alignment horizontal="center" vertical="top" wrapText="1"/>
    </xf>
    <xf numFmtId="0" fontId="95" fillId="0" borderId="9" xfId="0" applyFont="1" applyFill="1" applyBorder="1" applyAlignment="1">
      <alignment horizontal="center" vertical="top" wrapText="1"/>
    </xf>
    <xf numFmtId="49" fontId="95" fillId="0" borderId="2" xfId="0" applyNumberFormat="1" applyFont="1" applyFill="1" applyBorder="1" applyAlignment="1">
      <alignment horizontal="center" vertical="top" wrapText="1"/>
    </xf>
    <xf numFmtId="49" fontId="95" fillId="0" borderId="6" xfId="0" applyNumberFormat="1" applyFont="1" applyFill="1" applyBorder="1" applyAlignment="1">
      <alignment horizontal="center" vertical="top" wrapText="1"/>
    </xf>
    <xf numFmtId="49" fontId="95" fillId="0" borderId="9" xfId="0" applyNumberFormat="1" applyFont="1" applyFill="1" applyBorder="1" applyAlignment="1">
      <alignment horizontal="center" vertical="top" wrapText="1"/>
    </xf>
    <xf numFmtId="0" fontId="103" fillId="0" borderId="14" xfId="0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 vertical="center" wrapText="1"/>
    </xf>
    <xf numFmtId="0" fontId="103" fillId="0" borderId="17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left" vertical="top" wrapText="1"/>
    </xf>
    <xf numFmtId="0" fontId="65" fillId="0" borderId="9" xfId="0" applyFont="1" applyFill="1" applyBorder="1" applyAlignment="1">
      <alignment horizontal="left" vertical="top" wrapText="1"/>
    </xf>
    <xf numFmtId="0" fontId="41" fillId="0" borderId="2" xfId="0" applyNumberFormat="1" applyFont="1" applyBorder="1" applyAlignment="1">
      <alignment horizontal="left" vertical="top" wrapText="1"/>
    </xf>
    <xf numFmtId="0" fontId="41" fillId="0" borderId="6" xfId="0" applyNumberFormat="1" applyFont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41" fillId="0" borderId="2" xfId="0" applyNumberFormat="1" applyFont="1" applyFill="1" applyBorder="1" applyAlignment="1">
      <alignment horizontal="left" vertical="top" wrapText="1"/>
    </xf>
    <xf numFmtId="0" fontId="41" fillId="0" borderId="6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1" fillId="0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vertical="top" wrapText="1"/>
    </xf>
    <xf numFmtId="0" fontId="65" fillId="0" borderId="2" xfId="0" applyFont="1" applyFill="1" applyBorder="1" applyAlignment="1">
      <alignment horizontal="left" vertical="top" wrapText="1"/>
    </xf>
    <xf numFmtId="49" fontId="65" fillId="0" borderId="2" xfId="0" applyNumberFormat="1" applyFont="1" applyFill="1" applyBorder="1" applyAlignment="1">
      <alignment horizontal="center" vertical="top" wrapText="1"/>
    </xf>
    <xf numFmtId="49" fontId="65" fillId="0" borderId="6" xfId="0" applyNumberFormat="1" applyFont="1" applyFill="1" applyBorder="1" applyAlignment="1">
      <alignment horizontal="center" vertical="top" wrapText="1"/>
    </xf>
    <xf numFmtId="49" fontId="65" fillId="0" borderId="9" xfId="0" applyNumberFormat="1" applyFont="1" applyFill="1" applyBorder="1" applyAlignment="1">
      <alignment horizontal="center" vertical="top" wrapText="1"/>
    </xf>
    <xf numFmtId="0" fontId="66" fillId="0" borderId="2" xfId="0" applyFont="1" applyFill="1" applyBorder="1" applyAlignment="1">
      <alignment vertical="top" wrapText="1"/>
    </xf>
    <xf numFmtId="0" fontId="66" fillId="0" borderId="6" xfId="0" applyFont="1" applyFill="1" applyBorder="1" applyAlignment="1">
      <alignment vertical="top" wrapText="1"/>
    </xf>
    <xf numFmtId="0" fontId="66" fillId="0" borderId="9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87" fontId="3" fillId="0" borderId="8" xfId="1" applyNumberFormat="1" applyFont="1" applyFill="1" applyBorder="1" applyAlignment="1">
      <alignment horizontal="left" vertical="top" wrapText="1"/>
    </xf>
    <xf numFmtId="187" fontId="3" fillId="0" borderId="4" xfId="1" applyNumberFormat="1" applyFont="1" applyFill="1" applyBorder="1" applyAlignment="1">
      <alignment horizontal="left" vertical="top" wrapText="1"/>
    </xf>
    <xf numFmtId="187" fontId="3" fillId="0" borderId="5" xfId="1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87" fontId="3" fillId="0" borderId="8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vertical="top" wrapText="1"/>
    </xf>
    <xf numFmtId="0" fontId="41" fillId="0" borderId="2" xfId="0" applyNumberFormat="1" applyFont="1" applyFill="1" applyBorder="1" applyAlignment="1">
      <alignment vertical="top" wrapText="1"/>
    </xf>
    <xf numFmtId="0" fontId="41" fillId="0" borderId="6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8" fillId="0" borderId="8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187" fontId="3" fillId="0" borderId="10" xfId="1" applyNumberFormat="1" applyFont="1" applyFill="1" applyBorder="1" applyAlignment="1">
      <alignment horizontal="left" vertical="top"/>
    </xf>
    <xf numFmtId="0" fontId="23" fillId="0" borderId="2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118" fillId="0" borderId="10" xfId="0" applyNumberFormat="1" applyFont="1" applyFill="1" applyBorder="1" applyAlignment="1">
      <alignment vertical="top" wrapText="1"/>
    </xf>
    <xf numFmtId="0" fontId="118" fillId="0" borderId="4" xfId="0" applyNumberFormat="1" applyFont="1" applyFill="1" applyBorder="1" applyAlignment="1">
      <alignment vertical="top" wrapText="1"/>
    </xf>
    <xf numFmtId="0" fontId="118" fillId="0" borderId="10" xfId="0" applyNumberFormat="1" applyFont="1" applyBorder="1" applyAlignment="1">
      <alignment vertical="top" wrapText="1"/>
    </xf>
    <xf numFmtId="0" fontId="118" fillId="0" borderId="9" xfId="0" applyNumberFormat="1" applyFont="1" applyBorder="1" applyAlignment="1">
      <alignment vertical="top" wrapText="1"/>
    </xf>
    <xf numFmtId="0" fontId="118" fillId="0" borderId="2" xfId="0" applyNumberFormat="1" applyFont="1" applyBorder="1" applyAlignment="1">
      <alignment vertical="top" wrapText="1"/>
    </xf>
    <xf numFmtId="0" fontId="118" fillId="0" borderId="18" xfId="0" applyFont="1" applyFill="1" applyBorder="1" applyAlignment="1">
      <alignment vertical="top" wrapText="1"/>
    </xf>
    <xf numFmtId="0" fontId="118" fillId="0" borderId="2" xfId="0" applyNumberFormat="1" applyFont="1" applyBorder="1" applyAlignment="1">
      <alignment horizontal="left" vertical="top" wrapText="1"/>
    </xf>
    <xf numFmtId="0" fontId="118" fillId="0" borderId="6" xfId="0" applyNumberFormat="1" applyFont="1" applyBorder="1" applyAlignment="1">
      <alignment horizontal="left" vertical="top" wrapText="1"/>
    </xf>
    <xf numFmtId="0" fontId="118" fillId="2" borderId="6" xfId="0" applyNumberFormat="1" applyFont="1" applyFill="1" applyBorder="1" applyAlignment="1">
      <alignment vertical="top" wrapText="1"/>
    </xf>
    <xf numFmtId="0" fontId="118" fillId="2" borderId="9" xfId="0" applyNumberFormat="1" applyFont="1" applyFill="1" applyBorder="1" applyAlignment="1">
      <alignment vertical="top" wrapText="1"/>
    </xf>
    <xf numFmtId="0" fontId="118" fillId="0" borderId="9" xfId="0" applyNumberFormat="1" applyFont="1" applyFill="1" applyBorder="1" applyAlignment="1">
      <alignment vertical="top" wrapText="1"/>
    </xf>
    <xf numFmtId="187" fontId="118" fillId="0" borderId="10" xfId="3" applyNumberFormat="1" applyFont="1" applyBorder="1" applyAlignment="1">
      <alignment vertical="top"/>
    </xf>
    <xf numFmtId="187" fontId="103" fillId="5" borderId="10" xfId="3" applyNumberFormat="1" applyFont="1" applyFill="1" applyBorder="1" applyAlignment="1">
      <alignment vertical="top"/>
    </xf>
    <xf numFmtId="187" fontId="102" fillId="0" borderId="10" xfId="3" applyNumberFormat="1" applyFont="1" applyBorder="1" applyAlignment="1">
      <alignment vertical="top"/>
    </xf>
    <xf numFmtId="187" fontId="130" fillId="0" borderId="10" xfId="3" applyNumberFormat="1" applyFont="1" applyBorder="1" applyAlignment="1">
      <alignment vertical="top"/>
    </xf>
    <xf numFmtId="49" fontId="104" fillId="0" borderId="10" xfId="2" applyNumberFormat="1" applyFont="1" applyBorder="1" applyAlignment="1">
      <alignment vertical="top" wrapText="1"/>
    </xf>
    <xf numFmtId="49" fontId="121" fillId="0" borderId="10" xfId="2" applyNumberFormat="1" applyFont="1" applyBorder="1" applyAlignment="1">
      <alignment horizontal="center" vertical="top" wrapText="1"/>
    </xf>
    <xf numFmtId="49" fontId="104" fillId="0" borderId="26" xfId="2" applyNumberFormat="1" applyFont="1" applyBorder="1" applyAlignment="1">
      <alignment horizontal="center" vertical="top" wrapText="1"/>
    </xf>
    <xf numFmtId="187" fontId="104" fillId="0" borderId="2" xfId="1" applyNumberFormat="1" applyFont="1" applyBorder="1" applyAlignment="1">
      <alignment horizontal="center" vertical="top" wrapText="1"/>
    </xf>
    <xf numFmtId="187" fontId="104" fillId="0" borderId="10" xfId="1" applyNumberFormat="1" applyFont="1" applyBorder="1" applyAlignment="1">
      <alignment horizontal="center" vertical="top" wrapText="1"/>
    </xf>
    <xf numFmtId="187" fontId="104" fillId="0" borderId="6" xfId="1" applyNumberFormat="1" applyFont="1" applyBorder="1" applyAlignment="1">
      <alignment horizontal="center" vertical="top" wrapText="1"/>
    </xf>
    <xf numFmtId="0" fontId="104" fillId="6" borderId="10" xfId="2" applyNumberFormat="1" applyFont="1" applyFill="1" applyBorder="1" applyAlignment="1">
      <alignment vertical="top" wrapText="1"/>
    </xf>
    <xf numFmtId="0" fontId="96" fillId="2" borderId="21" xfId="2" applyFont="1" applyFill="1" applyBorder="1" applyAlignment="1">
      <alignment vertical="top" wrapText="1"/>
    </xf>
  </cellXfs>
  <cellStyles count="5">
    <cellStyle name="Comma" xfId="1" builtinId="3"/>
    <cellStyle name="Comma 3" xfId="3"/>
    <cellStyle name="Comma 5" xfId="4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FFFFCC"/>
      <color rgb="FF003399"/>
      <color rgb="FF1B035D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8564"/>
  <sheetViews>
    <sheetView tabSelected="1" topLeftCell="A3" zoomScale="130" zoomScaleNormal="130" workbookViewId="0">
      <pane ySplit="3" topLeftCell="A188" activePane="bottomLeft" state="frozen"/>
      <selection activeCell="A3" sqref="A3"/>
      <selection pane="bottomLeft" activeCell="C108" sqref="C108"/>
    </sheetView>
  </sheetViews>
  <sheetFormatPr defaultColWidth="9" defaultRowHeight="18.75"/>
  <cols>
    <col min="1" max="1" width="5.875" style="1049" customWidth="1"/>
    <col min="2" max="2" width="11" style="1084" customWidth="1"/>
    <col min="3" max="3" width="31.25" style="1022" customWidth="1"/>
    <col min="4" max="4" width="11.375" style="1023" customWidth="1"/>
    <col min="5" max="5" width="23.625" style="1024" customWidth="1"/>
    <col min="6" max="6" width="25.125" style="1024" customWidth="1"/>
    <col min="7" max="7" width="19.75" style="1024" customWidth="1"/>
    <col min="8" max="8" width="10.75" style="1024" customWidth="1"/>
    <col min="9" max="9" width="8.125" style="1024" customWidth="1"/>
    <col min="10" max="10" width="11.125" style="1024" customWidth="1"/>
    <col min="11" max="11" width="10.75" style="1024" customWidth="1"/>
    <col min="12" max="12" width="11.125" style="1024" customWidth="1"/>
    <col min="13" max="13" width="12" style="1084" customWidth="1"/>
    <col min="14" max="14" width="13.625" style="1024" customWidth="1"/>
    <col min="15" max="15" width="11.375" style="1024" hidden="1" customWidth="1"/>
    <col min="16" max="16" width="11.25" style="1024" hidden="1" customWidth="1"/>
    <col min="17" max="17" width="11.75" style="1024" hidden="1" customWidth="1"/>
    <col min="18" max="18" width="11" style="1024" hidden="1" customWidth="1"/>
    <col min="19" max="20" width="13.625" style="1024" hidden="1" customWidth="1"/>
    <col min="21" max="246" width="9" style="1024"/>
    <col min="247" max="247" width="6.25" style="1024" customWidth="1"/>
    <col min="248" max="248" width="10.125" style="1024" customWidth="1"/>
    <col min="249" max="249" width="29.375" style="1024" customWidth="1"/>
    <col min="250" max="258" width="0" style="1024" hidden="1" customWidth="1"/>
    <col min="259" max="259" width="14.75" style="1024" customWidth="1"/>
    <col min="260" max="260" width="11" style="1024" customWidth="1"/>
    <col min="261" max="261" width="11.125" style="1024" customWidth="1"/>
    <col min="262" max="262" width="9.75" style="1024" customWidth="1"/>
    <col min="263" max="263" width="10.375" style="1024" customWidth="1"/>
    <col min="264" max="265" width="9.625" style="1024" customWidth="1"/>
    <col min="266" max="266" width="10.875" style="1024" customWidth="1"/>
    <col min="267" max="267" width="9.375" style="1024" customWidth="1"/>
    <col min="268" max="268" width="10.25" style="1024" customWidth="1"/>
    <col min="269" max="269" width="9.75" style="1024" customWidth="1"/>
    <col min="270" max="270" width="9.25" style="1024" customWidth="1"/>
    <col min="271" max="502" width="9" style="1024"/>
    <col min="503" max="503" width="6.25" style="1024" customWidth="1"/>
    <col min="504" max="504" width="10.125" style="1024" customWidth="1"/>
    <col min="505" max="505" width="29.375" style="1024" customWidth="1"/>
    <col min="506" max="514" width="0" style="1024" hidden="1" customWidth="1"/>
    <col min="515" max="515" width="14.75" style="1024" customWidth="1"/>
    <col min="516" max="516" width="11" style="1024" customWidth="1"/>
    <col min="517" max="517" width="11.125" style="1024" customWidth="1"/>
    <col min="518" max="518" width="9.75" style="1024" customWidth="1"/>
    <col min="519" max="519" width="10.375" style="1024" customWidth="1"/>
    <col min="520" max="521" width="9.625" style="1024" customWidth="1"/>
    <col min="522" max="522" width="10.875" style="1024" customWidth="1"/>
    <col min="523" max="523" width="9.375" style="1024" customWidth="1"/>
    <col min="524" max="524" width="10.25" style="1024" customWidth="1"/>
    <col min="525" max="525" width="9.75" style="1024" customWidth="1"/>
    <col min="526" max="526" width="9.25" style="1024" customWidth="1"/>
    <col min="527" max="758" width="9" style="1024"/>
    <col min="759" max="759" width="6.25" style="1024" customWidth="1"/>
    <col min="760" max="760" width="10.125" style="1024" customWidth="1"/>
    <col min="761" max="761" width="29.375" style="1024" customWidth="1"/>
    <col min="762" max="770" width="0" style="1024" hidden="1" customWidth="1"/>
    <col min="771" max="771" width="14.75" style="1024" customWidth="1"/>
    <col min="772" max="772" width="11" style="1024" customWidth="1"/>
    <col min="773" max="773" width="11.125" style="1024" customWidth="1"/>
    <col min="774" max="774" width="9.75" style="1024" customWidth="1"/>
    <col min="775" max="775" width="10.375" style="1024" customWidth="1"/>
    <col min="776" max="777" width="9.625" style="1024" customWidth="1"/>
    <col min="778" max="778" width="10.875" style="1024" customWidth="1"/>
    <col min="779" max="779" width="9.375" style="1024" customWidth="1"/>
    <col min="780" max="780" width="10.25" style="1024" customWidth="1"/>
    <col min="781" max="781" width="9.75" style="1024" customWidth="1"/>
    <col min="782" max="782" width="9.25" style="1024" customWidth="1"/>
    <col min="783" max="1014" width="9" style="1024"/>
    <col min="1015" max="1015" width="6.25" style="1024" customWidth="1"/>
    <col min="1016" max="1016" width="10.125" style="1024" customWidth="1"/>
    <col min="1017" max="1017" width="29.375" style="1024" customWidth="1"/>
    <col min="1018" max="1026" width="0" style="1024" hidden="1" customWidth="1"/>
    <col min="1027" max="1027" width="14.75" style="1024" customWidth="1"/>
    <col min="1028" max="1028" width="11" style="1024" customWidth="1"/>
    <col min="1029" max="1029" width="11.125" style="1024" customWidth="1"/>
    <col min="1030" max="1030" width="9.75" style="1024" customWidth="1"/>
    <col min="1031" max="1031" width="10.375" style="1024" customWidth="1"/>
    <col min="1032" max="1033" width="9.625" style="1024" customWidth="1"/>
    <col min="1034" max="1034" width="10.875" style="1024" customWidth="1"/>
    <col min="1035" max="1035" width="9.375" style="1024" customWidth="1"/>
    <col min="1036" max="1036" width="10.25" style="1024" customWidth="1"/>
    <col min="1037" max="1037" width="9.75" style="1024" customWidth="1"/>
    <col min="1038" max="1038" width="9.25" style="1024" customWidth="1"/>
    <col min="1039" max="1270" width="9" style="1024"/>
    <col min="1271" max="1271" width="6.25" style="1024" customWidth="1"/>
    <col min="1272" max="1272" width="10.125" style="1024" customWidth="1"/>
    <col min="1273" max="1273" width="29.375" style="1024" customWidth="1"/>
    <col min="1274" max="1282" width="0" style="1024" hidden="1" customWidth="1"/>
    <col min="1283" max="1283" width="14.75" style="1024" customWidth="1"/>
    <col min="1284" max="1284" width="11" style="1024" customWidth="1"/>
    <col min="1285" max="1285" width="11.125" style="1024" customWidth="1"/>
    <col min="1286" max="1286" width="9.75" style="1024" customWidth="1"/>
    <col min="1287" max="1287" width="10.375" style="1024" customWidth="1"/>
    <col min="1288" max="1289" width="9.625" style="1024" customWidth="1"/>
    <col min="1290" max="1290" width="10.875" style="1024" customWidth="1"/>
    <col min="1291" max="1291" width="9.375" style="1024" customWidth="1"/>
    <col min="1292" max="1292" width="10.25" style="1024" customWidth="1"/>
    <col min="1293" max="1293" width="9.75" style="1024" customWidth="1"/>
    <col min="1294" max="1294" width="9.25" style="1024" customWidth="1"/>
    <col min="1295" max="1526" width="9" style="1024"/>
    <col min="1527" max="1527" width="6.25" style="1024" customWidth="1"/>
    <col min="1528" max="1528" width="10.125" style="1024" customWidth="1"/>
    <col min="1529" max="1529" width="29.375" style="1024" customWidth="1"/>
    <col min="1530" max="1538" width="0" style="1024" hidden="1" customWidth="1"/>
    <col min="1539" max="1539" width="14.75" style="1024" customWidth="1"/>
    <col min="1540" max="1540" width="11" style="1024" customWidth="1"/>
    <col min="1541" max="1541" width="11.125" style="1024" customWidth="1"/>
    <col min="1542" max="1542" width="9.75" style="1024" customWidth="1"/>
    <col min="1543" max="1543" width="10.375" style="1024" customWidth="1"/>
    <col min="1544" max="1545" width="9.625" style="1024" customWidth="1"/>
    <col min="1546" max="1546" width="10.875" style="1024" customWidth="1"/>
    <col min="1547" max="1547" width="9.375" style="1024" customWidth="1"/>
    <col min="1548" max="1548" width="10.25" style="1024" customWidth="1"/>
    <col min="1549" max="1549" width="9.75" style="1024" customWidth="1"/>
    <col min="1550" max="1550" width="9.25" style="1024" customWidth="1"/>
    <col min="1551" max="1782" width="9" style="1024"/>
    <col min="1783" max="1783" width="6.25" style="1024" customWidth="1"/>
    <col min="1784" max="1784" width="10.125" style="1024" customWidth="1"/>
    <col min="1785" max="1785" width="29.375" style="1024" customWidth="1"/>
    <col min="1786" max="1794" width="0" style="1024" hidden="1" customWidth="1"/>
    <col min="1795" max="1795" width="14.75" style="1024" customWidth="1"/>
    <col min="1796" max="1796" width="11" style="1024" customWidth="1"/>
    <col min="1797" max="1797" width="11.125" style="1024" customWidth="1"/>
    <col min="1798" max="1798" width="9.75" style="1024" customWidth="1"/>
    <col min="1799" max="1799" width="10.375" style="1024" customWidth="1"/>
    <col min="1800" max="1801" width="9.625" style="1024" customWidth="1"/>
    <col min="1802" max="1802" width="10.875" style="1024" customWidth="1"/>
    <col min="1803" max="1803" width="9.375" style="1024" customWidth="1"/>
    <col min="1804" max="1804" width="10.25" style="1024" customWidth="1"/>
    <col min="1805" max="1805" width="9.75" style="1024" customWidth="1"/>
    <col min="1806" max="1806" width="9.25" style="1024" customWidth="1"/>
    <col min="1807" max="2038" width="9" style="1024"/>
    <col min="2039" max="2039" width="6.25" style="1024" customWidth="1"/>
    <col min="2040" max="2040" width="10.125" style="1024" customWidth="1"/>
    <col min="2041" max="2041" width="29.375" style="1024" customWidth="1"/>
    <col min="2042" max="2050" width="0" style="1024" hidden="1" customWidth="1"/>
    <col min="2051" max="2051" width="14.75" style="1024" customWidth="1"/>
    <col min="2052" max="2052" width="11" style="1024" customWidth="1"/>
    <col min="2053" max="2053" width="11.125" style="1024" customWidth="1"/>
    <col min="2054" max="2054" width="9.75" style="1024" customWidth="1"/>
    <col min="2055" max="2055" width="10.375" style="1024" customWidth="1"/>
    <col min="2056" max="2057" width="9.625" style="1024" customWidth="1"/>
    <col min="2058" max="2058" width="10.875" style="1024" customWidth="1"/>
    <col min="2059" max="2059" width="9.375" style="1024" customWidth="1"/>
    <col min="2060" max="2060" width="10.25" style="1024" customWidth="1"/>
    <col min="2061" max="2061" width="9.75" style="1024" customWidth="1"/>
    <col min="2062" max="2062" width="9.25" style="1024" customWidth="1"/>
    <col min="2063" max="2294" width="9" style="1024"/>
    <col min="2295" max="2295" width="6.25" style="1024" customWidth="1"/>
    <col min="2296" max="2296" width="10.125" style="1024" customWidth="1"/>
    <col min="2297" max="2297" width="29.375" style="1024" customWidth="1"/>
    <col min="2298" max="2306" width="0" style="1024" hidden="1" customWidth="1"/>
    <col min="2307" max="2307" width="14.75" style="1024" customWidth="1"/>
    <col min="2308" max="2308" width="11" style="1024" customWidth="1"/>
    <col min="2309" max="2309" width="11.125" style="1024" customWidth="1"/>
    <col min="2310" max="2310" width="9.75" style="1024" customWidth="1"/>
    <col min="2311" max="2311" width="10.375" style="1024" customWidth="1"/>
    <col min="2312" max="2313" width="9.625" style="1024" customWidth="1"/>
    <col min="2314" max="2314" width="10.875" style="1024" customWidth="1"/>
    <col min="2315" max="2315" width="9.375" style="1024" customWidth="1"/>
    <col min="2316" max="2316" width="10.25" style="1024" customWidth="1"/>
    <col min="2317" max="2317" width="9.75" style="1024" customWidth="1"/>
    <col min="2318" max="2318" width="9.25" style="1024" customWidth="1"/>
    <col min="2319" max="2550" width="9" style="1024"/>
    <col min="2551" max="2551" width="6.25" style="1024" customWidth="1"/>
    <col min="2552" max="2552" width="10.125" style="1024" customWidth="1"/>
    <col min="2553" max="2553" width="29.375" style="1024" customWidth="1"/>
    <col min="2554" max="2562" width="0" style="1024" hidden="1" customWidth="1"/>
    <col min="2563" max="2563" width="14.75" style="1024" customWidth="1"/>
    <col min="2564" max="2564" width="11" style="1024" customWidth="1"/>
    <col min="2565" max="2565" width="11.125" style="1024" customWidth="1"/>
    <col min="2566" max="2566" width="9.75" style="1024" customWidth="1"/>
    <col min="2567" max="2567" width="10.375" style="1024" customWidth="1"/>
    <col min="2568" max="2569" width="9.625" style="1024" customWidth="1"/>
    <col min="2570" max="2570" width="10.875" style="1024" customWidth="1"/>
    <col min="2571" max="2571" width="9.375" style="1024" customWidth="1"/>
    <col min="2572" max="2572" width="10.25" style="1024" customWidth="1"/>
    <col min="2573" max="2573" width="9.75" style="1024" customWidth="1"/>
    <col min="2574" max="2574" width="9.25" style="1024" customWidth="1"/>
    <col min="2575" max="2806" width="9" style="1024"/>
    <col min="2807" max="2807" width="6.25" style="1024" customWidth="1"/>
    <col min="2808" max="2808" width="10.125" style="1024" customWidth="1"/>
    <col min="2809" max="2809" width="29.375" style="1024" customWidth="1"/>
    <col min="2810" max="2818" width="0" style="1024" hidden="1" customWidth="1"/>
    <col min="2819" max="2819" width="14.75" style="1024" customWidth="1"/>
    <col min="2820" max="2820" width="11" style="1024" customWidth="1"/>
    <col min="2821" max="2821" width="11.125" style="1024" customWidth="1"/>
    <col min="2822" max="2822" width="9.75" style="1024" customWidth="1"/>
    <col min="2823" max="2823" width="10.375" style="1024" customWidth="1"/>
    <col min="2824" max="2825" width="9.625" style="1024" customWidth="1"/>
    <col min="2826" max="2826" width="10.875" style="1024" customWidth="1"/>
    <col min="2827" max="2827" width="9.375" style="1024" customWidth="1"/>
    <col min="2828" max="2828" width="10.25" style="1024" customWidth="1"/>
    <col min="2829" max="2829" width="9.75" style="1024" customWidth="1"/>
    <col min="2830" max="2830" width="9.25" style="1024" customWidth="1"/>
    <col min="2831" max="3062" width="9" style="1024"/>
    <col min="3063" max="3063" width="6.25" style="1024" customWidth="1"/>
    <col min="3064" max="3064" width="10.125" style="1024" customWidth="1"/>
    <col min="3065" max="3065" width="29.375" style="1024" customWidth="1"/>
    <col min="3066" max="3074" width="0" style="1024" hidden="1" customWidth="1"/>
    <col min="3075" max="3075" width="14.75" style="1024" customWidth="1"/>
    <col min="3076" max="3076" width="11" style="1024" customWidth="1"/>
    <col min="3077" max="3077" width="11.125" style="1024" customWidth="1"/>
    <col min="3078" max="3078" width="9.75" style="1024" customWidth="1"/>
    <col min="3079" max="3079" width="10.375" style="1024" customWidth="1"/>
    <col min="3080" max="3081" width="9.625" style="1024" customWidth="1"/>
    <col min="3082" max="3082" width="10.875" style="1024" customWidth="1"/>
    <col min="3083" max="3083" width="9.375" style="1024" customWidth="1"/>
    <col min="3084" max="3084" width="10.25" style="1024" customWidth="1"/>
    <col min="3085" max="3085" width="9.75" style="1024" customWidth="1"/>
    <col min="3086" max="3086" width="9.25" style="1024" customWidth="1"/>
    <col min="3087" max="3318" width="9" style="1024"/>
    <col min="3319" max="3319" width="6.25" style="1024" customWidth="1"/>
    <col min="3320" max="3320" width="10.125" style="1024" customWidth="1"/>
    <col min="3321" max="3321" width="29.375" style="1024" customWidth="1"/>
    <col min="3322" max="3330" width="0" style="1024" hidden="1" customWidth="1"/>
    <col min="3331" max="3331" width="14.75" style="1024" customWidth="1"/>
    <col min="3332" max="3332" width="11" style="1024" customWidth="1"/>
    <col min="3333" max="3333" width="11.125" style="1024" customWidth="1"/>
    <col min="3334" max="3334" width="9.75" style="1024" customWidth="1"/>
    <col min="3335" max="3335" width="10.375" style="1024" customWidth="1"/>
    <col min="3336" max="3337" width="9.625" style="1024" customWidth="1"/>
    <col min="3338" max="3338" width="10.875" style="1024" customWidth="1"/>
    <col min="3339" max="3339" width="9.375" style="1024" customWidth="1"/>
    <col min="3340" max="3340" width="10.25" style="1024" customWidth="1"/>
    <col min="3341" max="3341" width="9.75" style="1024" customWidth="1"/>
    <col min="3342" max="3342" width="9.25" style="1024" customWidth="1"/>
    <col min="3343" max="3574" width="9" style="1024"/>
    <col min="3575" max="3575" width="6.25" style="1024" customWidth="1"/>
    <col min="3576" max="3576" width="10.125" style="1024" customWidth="1"/>
    <col min="3577" max="3577" width="29.375" style="1024" customWidth="1"/>
    <col min="3578" max="3586" width="0" style="1024" hidden="1" customWidth="1"/>
    <col min="3587" max="3587" width="14.75" style="1024" customWidth="1"/>
    <col min="3588" max="3588" width="11" style="1024" customWidth="1"/>
    <col min="3589" max="3589" width="11.125" style="1024" customWidth="1"/>
    <col min="3590" max="3590" width="9.75" style="1024" customWidth="1"/>
    <col min="3591" max="3591" width="10.375" style="1024" customWidth="1"/>
    <col min="3592" max="3593" width="9.625" style="1024" customWidth="1"/>
    <col min="3594" max="3594" width="10.875" style="1024" customWidth="1"/>
    <col min="3595" max="3595" width="9.375" style="1024" customWidth="1"/>
    <col min="3596" max="3596" width="10.25" style="1024" customWidth="1"/>
    <col min="3597" max="3597" width="9.75" style="1024" customWidth="1"/>
    <col min="3598" max="3598" width="9.25" style="1024" customWidth="1"/>
    <col min="3599" max="3830" width="9" style="1024"/>
    <col min="3831" max="3831" width="6.25" style="1024" customWidth="1"/>
    <col min="3832" max="3832" width="10.125" style="1024" customWidth="1"/>
    <col min="3833" max="3833" width="29.375" style="1024" customWidth="1"/>
    <col min="3834" max="3842" width="0" style="1024" hidden="1" customWidth="1"/>
    <col min="3843" max="3843" width="14.75" style="1024" customWidth="1"/>
    <col min="3844" max="3844" width="11" style="1024" customWidth="1"/>
    <col min="3845" max="3845" width="11.125" style="1024" customWidth="1"/>
    <col min="3846" max="3846" width="9.75" style="1024" customWidth="1"/>
    <col min="3847" max="3847" width="10.375" style="1024" customWidth="1"/>
    <col min="3848" max="3849" width="9.625" style="1024" customWidth="1"/>
    <col min="3850" max="3850" width="10.875" style="1024" customWidth="1"/>
    <col min="3851" max="3851" width="9.375" style="1024" customWidth="1"/>
    <col min="3852" max="3852" width="10.25" style="1024" customWidth="1"/>
    <col min="3853" max="3853" width="9.75" style="1024" customWidth="1"/>
    <col min="3854" max="3854" width="9.25" style="1024" customWidth="1"/>
    <col min="3855" max="4086" width="9" style="1024"/>
    <col min="4087" max="4087" width="6.25" style="1024" customWidth="1"/>
    <col min="4088" max="4088" width="10.125" style="1024" customWidth="1"/>
    <col min="4089" max="4089" width="29.375" style="1024" customWidth="1"/>
    <col min="4090" max="4098" width="0" style="1024" hidden="1" customWidth="1"/>
    <col min="4099" max="4099" width="14.75" style="1024" customWidth="1"/>
    <col min="4100" max="4100" width="11" style="1024" customWidth="1"/>
    <col min="4101" max="4101" width="11.125" style="1024" customWidth="1"/>
    <col min="4102" max="4102" width="9.75" style="1024" customWidth="1"/>
    <col min="4103" max="4103" width="10.375" style="1024" customWidth="1"/>
    <col min="4104" max="4105" width="9.625" style="1024" customWidth="1"/>
    <col min="4106" max="4106" width="10.875" style="1024" customWidth="1"/>
    <col min="4107" max="4107" width="9.375" style="1024" customWidth="1"/>
    <col min="4108" max="4108" width="10.25" style="1024" customWidth="1"/>
    <col min="4109" max="4109" width="9.75" style="1024" customWidth="1"/>
    <col min="4110" max="4110" width="9.25" style="1024" customWidth="1"/>
    <col min="4111" max="4342" width="9" style="1024"/>
    <col min="4343" max="4343" width="6.25" style="1024" customWidth="1"/>
    <col min="4344" max="4344" width="10.125" style="1024" customWidth="1"/>
    <col min="4345" max="4345" width="29.375" style="1024" customWidth="1"/>
    <col min="4346" max="4354" width="0" style="1024" hidden="1" customWidth="1"/>
    <col min="4355" max="4355" width="14.75" style="1024" customWidth="1"/>
    <col min="4356" max="4356" width="11" style="1024" customWidth="1"/>
    <col min="4357" max="4357" width="11.125" style="1024" customWidth="1"/>
    <col min="4358" max="4358" width="9.75" style="1024" customWidth="1"/>
    <col min="4359" max="4359" width="10.375" style="1024" customWidth="1"/>
    <col min="4360" max="4361" width="9.625" style="1024" customWidth="1"/>
    <col min="4362" max="4362" width="10.875" style="1024" customWidth="1"/>
    <col min="4363" max="4363" width="9.375" style="1024" customWidth="1"/>
    <col min="4364" max="4364" width="10.25" style="1024" customWidth="1"/>
    <col min="4365" max="4365" width="9.75" style="1024" customWidth="1"/>
    <col min="4366" max="4366" width="9.25" style="1024" customWidth="1"/>
    <col min="4367" max="4598" width="9" style="1024"/>
    <col min="4599" max="4599" width="6.25" style="1024" customWidth="1"/>
    <col min="4600" max="4600" width="10.125" style="1024" customWidth="1"/>
    <col min="4601" max="4601" width="29.375" style="1024" customWidth="1"/>
    <col min="4602" max="4610" width="0" style="1024" hidden="1" customWidth="1"/>
    <col min="4611" max="4611" width="14.75" style="1024" customWidth="1"/>
    <col min="4612" max="4612" width="11" style="1024" customWidth="1"/>
    <col min="4613" max="4613" width="11.125" style="1024" customWidth="1"/>
    <col min="4614" max="4614" width="9.75" style="1024" customWidth="1"/>
    <col min="4615" max="4615" width="10.375" style="1024" customWidth="1"/>
    <col min="4616" max="4617" width="9.625" style="1024" customWidth="1"/>
    <col min="4618" max="4618" width="10.875" style="1024" customWidth="1"/>
    <col min="4619" max="4619" width="9.375" style="1024" customWidth="1"/>
    <col min="4620" max="4620" width="10.25" style="1024" customWidth="1"/>
    <col min="4621" max="4621" width="9.75" style="1024" customWidth="1"/>
    <col min="4622" max="4622" width="9.25" style="1024" customWidth="1"/>
    <col min="4623" max="4854" width="9" style="1024"/>
    <col min="4855" max="4855" width="6.25" style="1024" customWidth="1"/>
    <col min="4856" max="4856" width="10.125" style="1024" customWidth="1"/>
    <col min="4857" max="4857" width="29.375" style="1024" customWidth="1"/>
    <col min="4858" max="4866" width="0" style="1024" hidden="1" customWidth="1"/>
    <col min="4867" max="4867" width="14.75" style="1024" customWidth="1"/>
    <col min="4868" max="4868" width="11" style="1024" customWidth="1"/>
    <col min="4869" max="4869" width="11.125" style="1024" customWidth="1"/>
    <col min="4870" max="4870" width="9.75" style="1024" customWidth="1"/>
    <col min="4871" max="4871" width="10.375" style="1024" customWidth="1"/>
    <col min="4872" max="4873" width="9.625" style="1024" customWidth="1"/>
    <col min="4874" max="4874" width="10.875" style="1024" customWidth="1"/>
    <col min="4875" max="4875" width="9.375" style="1024" customWidth="1"/>
    <col min="4876" max="4876" width="10.25" style="1024" customWidth="1"/>
    <col min="4877" max="4877" width="9.75" style="1024" customWidth="1"/>
    <col min="4878" max="4878" width="9.25" style="1024" customWidth="1"/>
    <col min="4879" max="5110" width="9" style="1024"/>
    <col min="5111" max="5111" width="6.25" style="1024" customWidth="1"/>
    <col min="5112" max="5112" width="10.125" style="1024" customWidth="1"/>
    <col min="5113" max="5113" width="29.375" style="1024" customWidth="1"/>
    <col min="5114" max="5122" width="0" style="1024" hidden="1" customWidth="1"/>
    <col min="5123" max="5123" width="14.75" style="1024" customWidth="1"/>
    <col min="5124" max="5124" width="11" style="1024" customWidth="1"/>
    <col min="5125" max="5125" width="11.125" style="1024" customWidth="1"/>
    <col min="5126" max="5126" width="9.75" style="1024" customWidth="1"/>
    <col min="5127" max="5127" width="10.375" style="1024" customWidth="1"/>
    <col min="5128" max="5129" width="9.625" style="1024" customWidth="1"/>
    <col min="5130" max="5130" width="10.875" style="1024" customWidth="1"/>
    <col min="5131" max="5131" width="9.375" style="1024" customWidth="1"/>
    <col min="5132" max="5132" width="10.25" style="1024" customWidth="1"/>
    <col min="5133" max="5133" width="9.75" style="1024" customWidth="1"/>
    <col min="5134" max="5134" width="9.25" style="1024" customWidth="1"/>
    <col min="5135" max="5366" width="9" style="1024"/>
    <col min="5367" max="5367" width="6.25" style="1024" customWidth="1"/>
    <col min="5368" max="5368" width="10.125" style="1024" customWidth="1"/>
    <col min="5369" max="5369" width="29.375" style="1024" customWidth="1"/>
    <col min="5370" max="5378" width="0" style="1024" hidden="1" customWidth="1"/>
    <col min="5379" max="5379" width="14.75" style="1024" customWidth="1"/>
    <col min="5380" max="5380" width="11" style="1024" customWidth="1"/>
    <col min="5381" max="5381" width="11.125" style="1024" customWidth="1"/>
    <col min="5382" max="5382" width="9.75" style="1024" customWidth="1"/>
    <col min="5383" max="5383" width="10.375" style="1024" customWidth="1"/>
    <col min="5384" max="5385" width="9.625" style="1024" customWidth="1"/>
    <col min="5386" max="5386" width="10.875" style="1024" customWidth="1"/>
    <col min="5387" max="5387" width="9.375" style="1024" customWidth="1"/>
    <col min="5388" max="5388" width="10.25" style="1024" customWidth="1"/>
    <col min="5389" max="5389" width="9.75" style="1024" customWidth="1"/>
    <col min="5390" max="5390" width="9.25" style="1024" customWidth="1"/>
    <col min="5391" max="5622" width="9" style="1024"/>
    <col min="5623" max="5623" width="6.25" style="1024" customWidth="1"/>
    <col min="5624" max="5624" width="10.125" style="1024" customWidth="1"/>
    <col min="5625" max="5625" width="29.375" style="1024" customWidth="1"/>
    <col min="5626" max="5634" width="0" style="1024" hidden="1" customWidth="1"/>
    <col min="5635" max="5635" width="14.75" style="1024" customWidth="1"/>
    <col min="5636" max="5636" width="11" style="1024" customWidth="1"/>
    <col min="5637" max="5637" width="11.125" style="1024" customWidth="1"/>
    <col min="5638" max="5638" width="9.75" style="1024" customWidth="1"/>
    <col min="5639" max="5639" width="10.375" style="1024" customWidth="1"/>
    <col min="5640" max="5641" width="9.625" style="1024" customWidth="1"/>
    <col min="5642" max="5642" width="10.875" style="1024" customWidth="1"/>
    <col min="5643" max="5643" width="9.375" style="1024" customWidth="1"/>
    <col min="5644" max="5644" width="10.25" style="1024" customWidth="1"/>
    <col min="5645" max="5645" width="9.75" style="1024" customWidth="1"/>
    <col min="5646" max="5646" width="9.25" style="1024" customWidth="1"/>
    <col min="5647" max="5878" width="9" style="1024"/>
    <col min="5879" max="5879" width="6.25" style="1024" customWidth="1"/>
    <col min="5880" max="5880" width="10.125" style="1024" customWidth="1"/>
    <col min="5881" max="5881" width="29.375" style="1024" customWidth="1"/>
    <col min="5882" max="5890" width="0" style="1024" hidden="1" customWidth="1"/>
    <col min="5891" max="5891" width="14.75" style="1024" customWidth="1"/>
    <col min="5892" max="5892" width="11" style="1024" customWidth="1"/>
    <col min="5893" max="5893" width="11.125" style="1024" customWidth="1"/>
    <col min="5894" max="5894" width="9.75" style="1024" customWidth="1"/>
    <col min="5895" max="5895" width="10.375" style="1024" customWidth="1"/>
    <col min="5896" max="5897" width="9.625" style="1024" customWidth="1"/>
    <col min="5898" max="5898" width="10.875" style="1024" customWidth="1"/>
    <col min="5899" max="5899" width="9.375" style="1024" customWidth="1"/>
    <col min="5900" max="5900" width="10.25" style="1024" customWidth="1"/>
    <col min="5901" max="5901" width="9.75" style="1024" customWidth="1"/>
    <col min="5902" max="5902" width="9.25" style="1024" customWidth="1"/>
    <col min="5903" max="6134" width="9" style="1024"/>
    <col min="6135" max="6135" width="6.25" style="1024" customWidth="1"/>
    <col min="6136" max="6136" width="10.125" style="1024" customWidth="1"/>
    <col min="6137" max="6137" width="29.375" style="1024" customWidth="1"/>
    <col min="6138" max="6146" width="0" style="1024" hidden="1" customWidth="1"/>
    <col min="6147" max="6147" width="14.75" style="1024" customWidth="1"/>
    <col min="6148" max="6148" width="11" style="1024" customWidth="1"/>
    <col min="6149" max="6149" width="11.125" style="1024" customWidth="1"/>
    <col min="6150" max="6150" width="9.75" style="1024" customWidth="1"/>
    <col min="6151" max="6151" width="10.375" style="1024" customWidth="1"/>
    <col min="6152" max="6153" width="9.625" style="1024" customWidth="1"/>
    <col min="6154" max="6154" width="10.875" style="1024" customWidth="1"/>
    <col min="6155" max="6155" width="9.375" style="1024" customWidth="1"/>
    <col min="6156" max="6156" width="10.25" style="1024" customWidth="1"/>
    <col min="6157" max="6157" width="9.75" style="1024" customWidth="1"/>
    <col min="6158" max="6158" width="9.25" style="1024" customWidth="1"/>
    <col min="6159" max="6390" width="9" style="1024"/>
    <col min="6391" max="6391" width="6.25" style="1024" customWidth="1"/>
    <col min="6392" max="6392" width="10.125" style="1024" customWidth="1"/>
    <col min="6393" max="6393" width="29.375" style="1024" customWidth="1"/>
    <col min="6394" max="6402" width="0" style="1024" hidden="1" customWidth="1"/>
    <col min="6403" max="6403" width="14.75" style="1024" customWidth="1"/>
    <col min="6404" max="6404" width="11" style="1024" customWidth="1"/>
    <col min="6405" max="6405" width="11.125" style="1024" customWidth="1"/>
    <col min="6406" max="6406" width="9.75" style="1024" customWidth="1"/>
    <col min="6407" max="6407" width="10.375" style="1024" customWidth="1"/>
    <col min="6408" max="6409" width="9.625" style="1024" customWidth="1"/>
    <col min="6410" max="6410" width="10.875" style="1024" customWidth="1"/>
    <col min="6411" max="6411" width="9.375" style="1024" customWidth="1"/>
    <col min="6412" max="6412" width="10.25" style="1024" customWidth="1"/>
    <col min="6413" max="6413" width="9.75" style="1024" customWidth="1"/>
    <col min="6414" max="6414" width="9.25" style="1024" customWidth="1"/>
    <col min="6415" max="6646" width="9" style="1024"/>
    <col min="6647" max="6647" width="6.25" style="1024" customWidth="1"/>
    <col min="6648" max="6648" width="10.125" style="1024" customWidth="1"/>
    <col min="6649" max="6649" width="29.375" style="1024" customWidth="1"/>
    <col min="6650" max="6658" width="0" style="1024" hidden="1" customWidth="1"/>
    <col min="6659" max="6659" width="14.75" style="1024" customWidth="1"/>
    <col min="6660" max="6660" width="11" style="1024" customWidth="1"/>
    <col min="6661" max="6661" width="11.125" style="1024" customWidth="1"/>
    <col min="6662" max="6662" width="9.75" style="1024" customWidth="1"/>
    <col min="6663" max="6663" width="10.375" style="1024" customWidth="1"/>
    <col min="6664" max="6665" width="9.625" style="1024" customWidth="1"/>
    <col min="6666" max="6666" width="10.875" style="1024" customWidth="1"/>
    <col min="6667" max="6667" width="9.375" style="1024" customWidth="1"/>
    <col min="6668" max="6668" width="10.25" style="1024" customWidth="1"/>
    <col min="6669" max="6669" width="9.75" style="1024" customWidth="1"/>
    <col min="6670" max="6670" width="9.25" style="1024" customWidth="1"/>
    <col min="6671" max="6902" width="9" style="1024"/>
    <col min="6903" max="6903" width="6.25" style="1024" customWidth="1"/>
    <col min="6904" max="6904" width="10.125" style="1024" customWidth="1"/>
    <col min="6905" max="6905" width="29.375" style="1024" customWidth="1"/>
    <col min="6906" max="6914" width="0" style="1024" hidden="1" customWidth="1"/>
    <col min="6915" max="6915" width="14.75" style="1024" customWidth="1"/>
    <col min="6916" max="6916" width="11" style="1024" customWidth="1"/>
    <col min="6917" max="6917" width="11.125" style="1024" customWidth="1"/>
    <col min="6918" max="6918" width="9.75" style="1024" customWidth="1"/>
    <col min="6919" max="6919" width="10.375" style="1024" customWidth="1"/>
    <col min="6920" max="6921" width="9.625" style="1024" customWidth="1"/>
    <col min="6922" max="6922" width="10.875" style="1024" customWidth="1"/>
    <col min="6923" max="6923" width="9.375" style="1024" customWidth="1"/>
    <col min="6924" max="6924" width="10.25" style="1024" customWidth="1"/>
    <col min="6925" max="6925" width="9.75" style="1024" customWidth="1"/>
    <col min="6926" max="6926" width="9.25" style="1024" customWidth="1"/>
    <col min="6927" max="7158" width="9" style="1024"/>
    <col min="7159" max="7159" width="6.25" style="1024" customWidth="1"/>
    <col min="7160" max="7160" width="10.125" style="1024" customWidth="1"/>
    <col min="7161" max="7161" width="29.375" style="1024" customWidth="1"/>
    <col min="7162" max="7170" width="0" style="1024" hidden="1" customWidth="1"/>
    <col min="7171" max="7171" width="14.75" style="1024" customWidth="1"/>
    <col min="7172" max="7172" width="11" style="1024" customWidth="1"/>
    <col min="7173" max="7173" width="11.125" style="1024" customWidth="1"/>
    <col min="7174" max="7174" width="9.75" style="1024" customWidth="1"/>
    <col min="7175" max="7175" width="10.375" style="1024" customWidth="1"/>
    <col min="7176" max="7177" width="9.625" style="1024" customWidth="1"/>
    <col min="7178" max="7178" width="10.875" style="1024" customWidth="1"/>
    <col min="7179" max="7179" width="9.375" style="1024" customWidth="1"/>
    <col min="7180" max="7180" width="10.25" style="1024" customWidth="1"/>
    <col min="7181" max="7181" width="9.75" style="1024" customWidth="1"/>
    <col min="7182" max="7182" width="9.25" style="1024" customWidth="1"/>
    <col min="7183" max="7414" width="9" style="1024"/>
    <col min="7415" max="7415" width="6.25" style="1024" customWidth="1"/>
    <col min="7416" max="7416" width="10.125" style="1024" customWidth="1"/>
    <col min="7417" max="7417" width="29.375" style="1024" customWidth="1"/>
    <col min="7418" max="7426" width="0" style="1024" hidden="1" customWidth="1"/>
    <col min="7427" max="7427" width="14.75" style="1024" customWidth="1"/>
    <col min="7428" max="7428" width="11" style="1024" customWidth="1"/>
    <col min="7429" max="7429" width="11.125" style="1024" customWidth="1"/>
    <col min="7430" max="7430" width="9.75" style="1024" customWidth="1"/>
    <col min="7431" max="7431" width="10.375" style="1024" customWidth="1"/>
    <col min="7432" max="7433" width="9.625" style="1024" customWidth="1"/>
    <col min="7434" max="7434" width="10.875" style="1024" customWidth="1"/>
    <col min="7435" max="7435" width="9.375" style="1024" customWidth="1"/>
    <col min="7436" max="7436" width="10.25" style="1024" customWidth="1"/>
    <col min="7437" max="7437" width="9.75" style="1024" customWidth="1"/>
    <col min="7438" max="7438" width="9.25" style="1024" customWidth="1"/>
    <col min="7439" max="7670" width="9" style="1024"/>
    <col min="7671" max="7671" width="6.25" style="1024" customWidth="1"/>
    <col min="7672" max="7672" width="10.125" style="1024" customWidth="1"/>
    <col min="7673" max="7673" width="29.375" style="1024" customWidth="1"/>
    <col min="7674" max="7682" width="0" style="1024" hidden="1" customWidth="1"/>
    <col min="7683" max="7683" width="14.75" style="1024" customWidth="1"/>
    <col min="7684" max="7684" width="11" style="1024" customWidth="1"/>
    <col min="7685" max="7685" width="11.125" style="1024" customWidth="1"/>
    <col min="7686" max="7686" width="9.75" style="1024" customWidth="1"/>
    <col min="7687" max="7687" width="10.375" style="1024" customWidth="1"/>
    <col min="7688" max="7689" width="9.625" style="1024" customWidth="1"/>
    <col min="7690" max="7690" width="10.875" style="1024" customWidth="1"/>
    <col min="7691" max="7691" width="9.375" style="1024" customWidth="1"/>
    <col min="7692" max="7692" width="10.25" style="1024" customWidth="1"/>
    <col min="7693" max="7693" width="9.75" style="1024" customWidth="1"/>
    <col min="7694" max="7694" width="9.25" style="1024" customWidth="1"/>
    <col min="7695" max="7926" width="9" style="1024"/>
    <col min="7927" max="7927" width="6.25" style="1024" customWidth="1"/>
    <col min="7928" max="7928" width="10.125" style="1024" customWidth="1"/>
    <col min="7929" max="7929" width="29.375" style="1024" customWidth="1"/>
    <col min="7930" max="7938" width="0" style="1024" hidden="1" customWidth="1"/>
    <col min="7939" max="7939" width="14.75" style="1024" customWidth="1"/>
    <col min="7940" max="7940" width="11" style="1024" customWidth="1"/>
    <col min="7941" max="7941" width="11.125" style="1024" customWidth="1"/>
    <col min="7942" max="7942" width="9.75" style="1024" customWidth="1"/>
    <col min="7943" max="7943" width="10.375" style="1024" customWidth="1"/>
    <col min="7944" max="7945" width="9.625" style="1024" customWidth="1"/>
    <col min="7946" max="7946" width="10.875" style="1024" customWidth="1"/>
    <col min="7947" max="7947" width="9.375" style="1024" customWidth="1"/>
    <col min="7948" max="7948" width="10.25" style="1024" customWidth="1"/>
    <col min="7949" max="7949" width="9.75" style="1024" customWidth="1"/>
    <col min="7950" max="7950" width="9.25" style="1024" customWidth="1"/>
    <col min="7951" max="8182" width="9" style="1024"/>
    <col min="8183" max="8183" width="6.25" style="1024" customWidth="1"/>
    <col min="8184" max="8184" width="10.125" style="1024" customWidth="1"/>
    <col min="8185" max="8185" width="29.375" style="1024" customWidth="1"/>
    <col min="8186" max="8194" width="0" style="1024" hidden="1" customWidth="1"/>
    <col min="8195" max="8195" width="14.75" style="1024" customWidth="1"/>
    <col min="8196" max="8196" width="11" style="1024" customWidth="1"/>
    <col min="8197" max="8197" width="11.125" style="1024" customWidth="1"/>
    <col min="8198" max="8198" width="9.75" style="1024" customWidth="1"/>
    <col min="8199" max="8199" width="10.375" style="1024" customWidth="1"/>
    <col min="8200" max="8201" width="9.625" style="1024" customWidth="1"/>
    <col min="8202" max="8202" width="10.875" style="1024" customWidth="1"/>
    <col min="8203" max="8203" width="9.375" style="1024" customWidth="1"/>
    <col min="8204" max="8204" width="10.25" style="1024" customWidth="1"/>
    <col min="8205" max="8205" width="9.75" style="1024" customWidth="1"/>
    <col min="8206" max="8206" width="9.25" style="1024" customWidth="1"/>
    <col min="8207" max="8438" width="9" style="1024"/>
    <col min="8439" max="8439" width="6.25" style="1024" customWidth="1"/>
    <col min="8440" max="8440" width="10.125" style="1024" customWidth="1"/>
    <col min="8441" max="8441" width="29.375" style="1024" customWidth="1"/>
    <col min="8442" max="8450" width="0" style="1024" hidden="1" customWidth="1"/>
    <col min="8451" max="8451" width="14.75" style="1024" customWidth="1"/>
    <col min="8452" max="8452" width="11" style="1024" customWidth="1"/>
    <col min="8453" max="8453" width="11.125" style="1024" customWidth="1"/>
    <col min="8454" max="8454" width="9.75" style="1024" customWidth="1"/>
    <col min="8455" max="8455" width="10.375" style="1024" customWidth="1"/>
    <col min="8456" max="8457" width="9.625" style="1024" customWidth="1"/>
    <col min="8458" max="8458" width="10.875" style="1024" customWidth="1"/>
    <col min="8459" max="8459" width="9.375" style="1024" customWidth="1"/>
    <col min="8460" max="8460" width="10.25" style="1024" customWidth="1"/>
    <col min="8461" max="8461" width="9.75" style="1024" customWidth="1"/>
    <col min="8462" max="8462" width="9.25" style="1024" customWidth="1"/>
    <col min="8463" max="8694" width="9" style="1024"/>
    <col min="8695" max="8695" width="6.25" style="1024" customWidth="1"/>
    <col min="8696" max="8696" width="10.125" style="1024" customWidth="1"/>
    <col min="8697" max="8697" width="29.375" style="1024" customWidth="1"/>
    <col min="8698" max="8706" width="0" style="1024" hidden="1" customWidth="1"/>
    <col min="8707" max="8707" width="14.75" style="1024" customWidth="1"/>
    <col min="8708" max="8708" width="11" style="1024" customWidth="1"/>
    <col min="8709" max="8709" width="11.125" style="1024" customWidth="1"/>
    <col min="8710" max="8710" width="9.75" style="1024" customWidth="1"/>
    <col min="8711" max="8711" width="10.375" style="1024" customWidth="1"/>
    <col min="8712" max="8713" width="9.625" style="1024" customWidth="1"/>
    <col min="8714" max="8714" width="10.875" style="1024" customWidth="1"/>
    <col min="8715" max="8715" width="9.375" style="1024" customWidth="1"/>
    <col min="8716" max="8716" width="10.25" style="1024" customWidth="1"/>
    <col min="8717" max="8717" width="9.75" style="1024" customWidth="1"/>
    <col min="8718" max="8718" width="9.25" style="1024" customWidth="1"/>
    <col min="8719" max="8950" width="9" style="1024"/>
    <col min="8951" max="8951" width="6.25" style="1024" customWidth="1"/>
    <col min="8952" max="8952" width="10.125" style="1024" customWidth="1"/>
    <col min="8953" max="8953" width="29.375" style="1024" customWidth="1"/>
    <col min="8954" max="8962" width="0" style="1024" hidden="1" customWidth="1"/>
    <col min="8963" max="8963" width="14.75" style="1024" customWidth="1"/>
    <col min="8964" max="8964" width="11" style="1024" customWidth="1"/>
    <col min="8965" max="8965" width="11.125" style="1024" customWidth="1"/>
    <col min="8966" max="8966" width="9.75" style="1024" customWidth="1"/>
    <col min="8967" max="8967" width="10.375" style="1024" customWidth="1"/>
    <col min="8968" max="8969" width="9.625" style="1024" customWidth="1"/>
    <col min="8970" max="8970" width="10.875" style="1024" customWidth="1"/>
    <col min="8971" max="8971" width="9.375" style="1024" customWidth="1"/>
    <col min="8972" max="8972" width="10.25" style="1024" customWidth="1"/>
    <col min="8973" max="8973" width="9.75" style="1024" customWidth="1"/>
    <col min="8974" max="8974" width="9.25" style="1024" customWidth="1"/>
    <col min="8975" max="9206" width="9" style="1024"/>
    <col min="9207" max="9207" width="6.25" style="1024" customWidth="1"/>
    <col min="9208" max="9208" width="10.125" style="1024" customWidth="1"/>
    <col min="9209" max="9209" width="29.375" style="1024" customWidth="1"/>
    <col min="9210" max="9218" width="0" style="1024" hidden="1" customWidth="1"/>
    <col min="9219" max="9219" width="14.75" style="1024" customWidth="1"/>
    <col min="9220" max="9220" width="11" style="1024" customWidth="1"/>
    <col min="9221" max="9221" width="11.125" style="1024" customWidth="1"/>
    <col min="9222" max="9222" width="9.75" style="1024" customWidth="1"/>
    <col min="9223" max="9223" width="10.375" style="1024" customWidth="1"/>
    <col min="9224" max="9225" width="9.625" style="1024" customWidth="1"/>
    <col min="9226" max="9226" width="10.875" style="1024" customWidth="1"/>
    <col min="9227" max="9227" width="9.375" style="1024" customWidth="1"/>
    <col min="9228" max="9228" width="10.25" style="1024" customWidth="1"/>
    <col min="9229" max="9229" width="9.75" style="1024" customWidth="1"/>
    <col min="9230" max="9230" width="9.25" style="1024" customWidth="1"/>
    <col min="9231" max="9462" width="9" style="1024"/>
    <col min="9463" max="9463" width="6.25" style="1024" customWidth="1"/>
    <col min="9464" max="9464" width="10.125" style="1024" customWidth="1"/>
    <col min="9465" max="9465" width="29.375" style="1024" customWidth="1"/>
    <col min="9466" max="9474" width="0" style="1024" hidden="1" customWidth="1"/>
    <col min="9475" max="9475" width="14.75" style="1024" customWidth="1"/>
    <col min="9476" max="9476" width="11" style="1024" customWidth="1"/>
    <col min="9477" max="9477" width="11.125" style="1024" customWidth="1"/>
    <col min="9478" max="9478" width="9.75" style="1024" customWidth="1"/>
    <col min="9479" max="9479" width="10.375" style="1024" customWidth="1"/>
    <col min="9480" max="9481" width="9.625" style="1024" customWidth="1"/>
    <col min="9482" max="9482" width="10.875" style="1024" customWidth="1"/>
    <col min="9483" max="9483" width="9.375" style="1024" customWidth="1"/>
    <col min="9484" max="9484" width="10.25" style="1024" customWidth="1"/>
    <col min="9485" max="9485" width="9.75" style="1024" customWidth="1"/>
    <col min="9486" max="9486" width="9.25" style="1024" customWidth="1"/>
    <col min="9487" max="9718" width="9" style="1024"/>
    <col min="9719" max="9719" width="6.25" style="1024" customWidth="1"/>
    <col min="9720" max="9720" width="10.125" style="1024" customWidth="1"/>
    <col min="9721" max="9721" width="29.375" style="1024" customWidth="1"/>
    <col min="9722" max="9730" width="0" style="1024" hidden="1" customWidth="1"/>
    <col min="9731" max="9731" width="14.75" style="1024" customWidth="1"/>
    <col min="9732" max="9732" width="11" style="1024" customWidth="1"/>
    <col min="9733" max="9733" width="11.125" style="1024" customWidth="1"/>
    <col min="9734" max="9734" width="9.75" style="1024" customWidth="1"/>
    <col min="9735" max="9735" width="10.375" style="1024" customWidth="1"/>
    <col min="9736" max="9737" width="9.625" style="1024" customWidth="1"/>
    <col min="9738" max="9738" width="10.875" style="1024" customWidth="1"/>
    <col min="9739" max="9739" width="9.375" style="1024" customWidth="1"/>
    <col min="9740" max="9740" width="10.25" style="1024" customWidth="1"/>
    <col min="9741" max="9741" width="9.75" style="1024" customWidth="1"/>
    <col min="9742" max="9742" width="9.25" style="1024" customWidth="1"/>
    <col min="9743" max="9974" width="9" style="1024"/>
    <col min="9975" max="9975" width="6.25" style="1024" customWidth="1"/>
    <col min="9976" max="9976" width="10.125" style="1024" customWidth="1"/>
    <col min="9977" max="9977" width="29.375" style="1024" customWidth="1"/>
    <col min="9978" max="9986" width="0" style="1024" hidden="1" customWidth="1"/>
    <col min="9987" max="9987" width="14.75" style="1024" customWidth="1"/>
    <col min="9988" max="9988" width="11" style="1024" customWidth="1"/>
    <col min="9989" max="9989" width="11.125" style="1024" customWidth="1"/>
    <col min="9990" max="9990" width="9.75" style="1024" customWidth="1"/>
    <col min="9991" max="9991" width="10.375" style="1024" customWidth="1"/>
    <col min="9992" max="9993" width="9.625" style="1024" customWidth="1"/>
    <col min="9994" max="9994" width="10.875" style="1024" customWidth="1"/>
    <col min="9995" max="9995" width="9.375" style="1024" customWidth="1"/>
    <col min="9996" max="9996" width="10.25" style="1024" customWidth="1"/>
    <col min="9997" max="9997" width="9.75" style="1024" customWidth="1"/>
    <col min="9998" max="9998" width="9.25" style="1024" customWidth="1"/>
    <col min="9999" max="10230" width="9" style="1024"/>
    <col min="10231" max="10231" width="6.25" style="1024" customWidth="1"/>
    <col min="10232" max="10232" width="10.125" style="1024" customWidth="1"/>
    <col min="10233" max="10233" width="29.375" style="1024" customWidth="1"/>
    <col min="10234" max="10242" width="0" style="1024" hidden="1" customWidth="1"/>
    <col min="10243" max="10243" width="14.75" style="1024" customWidth="1"/>
    <col min="10244" max="10244" width="11" style="1024" customWidth="1"/>
    <col min="10245" max="10245" width="11.125" style="1024" customWidth="1"/>
    <col min="10246" max="10246" width="9.75" style="1024" customWidth="1"/>
    <col min="10247" max="10247" width="10.375" style="1024" customWidth="1"/>
    <col min="10248" max="10249" width="9.625" style="1024" customWidth="1"/>
    <col min="10250" max="10250" width="10.875" style="1024" customWidth="1"/>
    <col min="10251" max="10251" width="9.375" style="1024" customWidth="1"/>
    <col min="10252" max="10252" width="10.25" style="1024" customWidth="1"/>
    <col min="10253" max="10253" width="9.75" style="1024" customWidth="1"/>
    <col min="10254" max="10254" width="9.25" style="1024" customWidth="1"/>
    <col min="10255" max="10486" width="9" style="1024"/>
    <col min="10487" max="10487" width="6.25" style="1024" customWidth="1"/>
    <col min="10488" max="10488" width="10.125" style="1024" customWidth="1"/>
    <col min="10489" max="10489" width="29.375" style="1024" customWidth="1"/>
    <col min="10490" max="10498" width="0" style="1024" hidden="1" customWidth="1"/>
    <col min="10499" max="10499" width="14.75" style="1024" customWidth="1"/>
    <col min="10500" max="10500" width="11" style="1024" customWidth="1"/>
    <col min="10501" max="10501" width="11.125" style="1024" customWidth="1"/>
    <col min="10502" max="10502" width="9.75" style="1024" customWidth="1"/>
    <col min="10503" max="10503" width="10.375" style="1024" customWidth="1"/>
    <col min="10504" max="10505" width="9.625" style="1024" customWidth="1"/>
    <col min="10506" max="10506" width="10.875" style="1024" customWidth="1"/>
    <col min="10507" max="10507" width="9.375" style="1024" customWidth="1"/>
    <col min="10508" max="10508" width="10.25" style="1024" customWidth="1"/>
    <col min="10509" max="10509" width="9.75" style="1024" customWidth="1"/>
    <col min="10510" max="10510" width="9.25" style="1024" customWidth="1"/>
    <col min="10511" max="10742" width="9" style="1024"/>
    <col min="10743" max="10743" width="6.25" style="1024" customWidth="1"/>
    <col min="10744" max="10744" width="10.125" style="1024" customWidth="1"/>
    <col min="10745" max="10745" width="29.375" style="1024" customWidth="1"/>
    <col min="10746" max="10754" width="0" style="1024" hidden="1" customWidth="1"/>
    <col min="10755" max="10755" width="14.75" style="1024" customWidth="1"/>
    <col min="10756" max="10756" width="11" style="1024" customWidth="1"/>
    <col min="10757" max="10757" width="11.125" style="1024" customWidth="1"/>
    <col min="10758" max="10758" width="9.75" style="1024" customWidth="1"/>
    <col min="10759" max="10759" width="10.375" style="1024" customWidth="1"/>
    <col min="10760" max="10761" width="9.625" style="1024" customWidth="1"/>
    <col min="10762" max="10762" width="10.875" style="1024" customWidth="1"/>
    <col min="10763" max="10763" width="9.375" style="1024" customWidth="1"/>
    <col min="10764" max="10764" width="10.25" style="1024" customWidth="1"/>
    <col min="10765" max="10765" width="9.75" style="1024" customWidth="1"/>
    <col min="10766" max="10766" width="9.25" style="1024" customWidth="1"/>
    <col min="10767" max="10998" width="9" style="1024"/>
    <col min="10999" max="10999" width="6.25" style="1024" customWidth="1"/>
    <col min="11000" max="11000" width="10.125" style="1024" customWidth="1"/>
    <col min="11001" max="11001" width="29.375" style="1024" customWidth="1"/>
    <col min="11002" max="11010" width="0" style="1024" hidden="1" customWidth="1"/>
    <col min="11011" max="11011" width="14.75" style="1024" customWidth="1"/>
    <col min="11012" max="11012" width="11" style="1024" customWidth="1"/>
    <col min="11013" max="11013" width="11.125" style="1024" customWidth="1"/>
    <col min="11014" max="11014" width="9.75" style="1024" customWidth="1"/>
    <col min="11015" max="11015" width="10.375" style="1024" customWidth="1"/>
    <col min="11016" max="11017" width="9.625" style="1024" customWidth="1"/>
    <col min="11018" max="11018" width="10.875" style="1024" customWidth="1"/>
    <col min="11019" max="11019" width="9.375" style="1024" customWidth="1"/>
    <col min="11020" max="11020" width="10.25" style="1024" customWidth="1"/>
    <col min="11021" max="11021" width="9.75" style="1024" customWidth="1"/>
    <col min="11022" max="11022" width="9.25" style="1024" customWidth="1"/>
    <col min="11023" max="11254" width="9" style="1024"/>
    <col min="11255" max="11255" width="6.25" style="1024" customWidth="1"/>
    <col min="11256" max="11256" width="10.125" style="1024" customWidth="1"/>
    <col min="11257" max="11257" width="29.375" style="1024" customWidth="1"/>
    <col min="11258" max="11266" width="0" style="1024" hidden="1" customWidth="1"/>
    <col min="11267" max="11267" width="14.75" style="1024" customWidth="1"/>
    <col min="11268" max="11268" width="11" style="1024" customWidth="1"/>
    <col min="11269" max="11269" width="11.125" style="1024" customWidth="1"/>
    <col min="11270" max="11270" width="9.75" style="1024" customWidth="1"/>
    <col min="11271" max="11271" width="10.375" style="1024" customWidth="1"/>
    <col min="11272" max="11273" width="9.625" style="1024" customWidth="1"/>
    <col min="11274" max="11274" width="10.875" style="1024" customWidth="1"/>
    <col min="11275" max="11275" width="9.375" style="1024" customWidth="1"/>
    <col min="11276" max="11276" width="10.25" style="1024" customWidth="1"/>
    <col min="11277" max="11277" width="9.75" style="1024" customWidth="1"/>
    <col min="11278" max="11278" width="9.25" style="1024" customWidth="1"/>
    <col min="11279" max="11510" width="9" style="1024"/>
    <col min="11511" max="11511" width="6.25" style="1024" customWidth="1"/>
    <col min="11512" max="11512" width="10.125" style="1024" customWidth="1"/>
    <col min="11513" max="11513" width="29.375" style="1024" customWidth="1"/>
    <col min="11514" max="11522" width="0" style="1024" hidden="1" customWidth="1"/>
    <col min="11523" max="11523" width="14.75" style="1024" customWidth="1"/>
    <col min="11524" max="11524" width="11" style="1024" customWidth="1"/>
    <col min="11525" max="11525" width="11.125" style="1024" customWidth="1"/>
    <col min="11526" max="11526" width="9.75" style="1024" customWidth="1"/>
    <col min="11527" max="11527" width="10.375" style="1024" customWidth="1"/>
    <col min="11528" max="11529" width="9.625" style="1024" customWidth="1"/>
    <col min="11530" max="11530" width="10.875" style="1024" customWidth="1"/>
    <col min="11531" max="11531" width="9.375" style="1024" customWidth="1"/>
    <col min="11532" max="11532" width="10.25" style="1024" customWidth="1"/>
    <col min="11533" max="11533" width="9.75" style="1024" customWidth="1"/>
    <col min="11534" max="11534" width="9.25" style="1024" customWidth="1"/>
    <col min="11535" max="11766" width="9" style="1024"/>
    <col min="11767" max="11767" width="6.25" style="1024" customWidth="1"/>
    <col min="11768" max="11768" width="10.125" style="1024" customWidth="1"/>
    <col min="11769" max="11769" width="29.375" style="1024" customWidth="1"/>
    <col min="11770" max="11778" width="0" style="1024" hidden="1" customWidth="1"/>
    <col min="11779" max="11779" width="14.75" style="1024" customWidth="1"/>
    <col min="11780" max="11780" width="11" style="1024" customWidth="1"/>
    <col min="11781" max="11781" width="11.125" style="1024" customWidth="1"/>
    <col min="11782" max="11782" width="9.75" style="1024" customWidth="1"/>
    <col min="11783" max="11783" width="10.375" style="1024" customWidth="1"/>
    <col min="11784" max="11785" width="9.625" style="1024" customWidth="1"/>
    <col min="11786" max="11786" width="10.875" style="1024" customWidth="1"/>
    <col min="11787" max="11787" width="9.375" style="1024" customWidth="1"/>
    <col min="11788" max="11788" width="10.25" style="1024" customWidth="1"/>
    <col min="11789" max="11789" width="9.75" style="1024" customWidth="1"/>
    <col min="11790" max="11790" width="9.25" style="1024" customWidth="1"/>
    <col min="11791" max="12022" width="9" style="1024"/>
    <col min="12023" max="12023" width="6.25" style="1024" customWidth="1"/>
    <col min="12024" max="12024" width="10.125" style="1024" customWidth="1"/>
    <col min="12025" max="12025" width="29.375" style="1024" customWidth="1"/>
    <col min="12026" max="12034" width="0" style="1024" hidden="1" customWidth="1"/>
    <col min="12035" max="12035" width="14.75" style="1024" customWidth="1"/>
    <col min="12036" max="12036" width="11" style="1024" customWidth="1"/>
    <col min="12037" max="12037" width="11.125" style="1024" customWidth="1"/>
    <col min="12038" max="12038" width="9.75" style="1024" customWidth="1"/>
    <col min="12039" max="12039" width="10.375" style="1024" customWidth="1"/>
    <col min="12040" max="12041" width="9.625" style="1024" customWidth="1"/>
    <col min="12042" max="12042" width="10.875" style="1024" customWidth="1"/>
    <col min="12043" max="12043" width="9.375" style="1024" customWidth="1"/>
    <col min="12044" max="12044" width="10.25" style="1024" customWidth="1"/>
    <col min="12045" max="12045" width="9.75" style="1024" customWidth="1"/>
    <col min="12046" max="12046" width="9.25" style="1024" customWidth="1"/>
    <col min="12047" max="12278" width="9" style="1024"/>
    <col min="12279" max="12279" width="6.25" style="1024" customWidth="1"/>
    <col min="12280" max="12280" width="10.125" style="1024" customWidth="1"/>
    <col min="12281" max="12281" width="29.375" style="1024" customWidth="1"/>
    <col min="12282" max="12290" width="0" style="1024" hidden="1" customWidth="1"/>
    <col min="12291" max="12291" width="14.75" style="1024" customWidth="1"/>
    <col min="12292" max="12292" width="11" style="1024" customWidth="1"/>
    <col min="12293" max="12293" width="11.125" style="1024" customWidth="1"/>
    <col min="12294" max="12294" width="9.75" style="1024" customWidth="1"/>
    <col min="12295" max="12295" width="10.375" style="1024" customWidth="1"/>
    <col min="12296" max="12297" width="9.625" style="1024" customWidth="1"/>
    <col min="12298" max="12298" width="10.875" style="1024" customWidth="1"/>
    <col min="12299" max="12299" width="9.375" style="1024" customWidth="1"/>
    <col min="12300" max="12300" width="10.25" style="1024" customWidth="1"/>
    <col min="12301" max="12301" width="9.75" style="1024" customWidth="1"/>
    <col min="12302" max="12302" width="9.25" style="1024" customWidth="1"/>
    <col min="12303" max="12534" width="9" style="1024"/>
    <col min="12535" max="12535" width="6.25" style="1024" customWidth="1"/>
    <col min="12536" max="12536" width="10.125" style="1024" customWidth="1"/>
    <col min="12537" max="12537" width="29.375" style="1024" customWidth="1"/>
    <col min="12538" max="12546" width="0" style="1024" hidden="1" customWidth="1"/>
    <col min="12547" max="12547" width="14.75" style="1024" customWidth="1"/>
    <col min="12548" max="12548" width="11" style="1024" customWidth="1"/>
    <col min="12549" max="12549" width="11.125" style="1024" customWidth="1"/>
    <col min="12550" max="12550" width="9.75" style="1024" customWidth="1"/>
    <col min="12551" max="12551" width="10.375" style="1024" customWidth="1"/>
    <col min="12552" max="12553" width="9.625" style="1024" customWidth="1"/>
    <col min="12554" max="12554" width="10.875" style="1024" customWidth="1"/>
    <col min="12555" max="12555" width="9.375" style="1024" customWidth="1"/>
    <col min="12556" max="12556" width="10.25" style="1024" customWidth="1"/>
    <col min="12557" max="12557" width="9.75" style="1024" customWidth="1"/>
    <col min="12558" max="12558" width="9.25" style="1024" customWidth="1"/>
    <col min="12559" max="12790" width="9" style="1024"/>
    <col min="12791" max="12791" width="6.25" style="1024" customWidth="1"/>
    <col min="12792" max="12792" width="10.125" style="1024" customWidth="1"/>
    <col min="12793" max="12793" width="29.375" style="1024" customWidth="1"/>
    <col min="12794" max="12802" width="0" style="1024" hidden="1" customWidth="1"/>
    <col min="12803" max="12803" width="14.75" style="1024" customWidth="1"/>
    <col min="12804" max="12804" width="11" style="1024" customWidth="1"/>
    <col min="12805" max="12805" width="11.125" style="1024" customWidth="1"/>
    <col min="12806" max="12806" width="9.75" style="1024" customWidth="1"/>
    <col min="12807" max="12807" width="10.375" style="1024" customWidth="1"/>
    <col min="12808" max="12809" width="9.625" style="1024" customWidth="1"/>
    <col min="12810" max="12810" width="10.875" style="1024" customWidth="1"/>
    <col min="12811" max="12811" width="9.375" style="1024" customWidth="1"/>
    <col min="12812" max="12812" width="10.25" style="1024" customWidth="1"/>
    <col min="12813" max="12813" width="9.75" style="1024" customWidth="1"/>
    <col min="12814" max="12814" width="9.25" style="1024" customWidth="1"/>
    <col min="12815" max="13046" width="9" style="1024"/>
    <col min="13047" max="13047" width="6.25" style="1024" customWidth="1"/>
    <col min="13048" max="13048" width="10.125" style="1024" customWidth="1"/>
    <col min="13049" max="13049" width="29.375" style="1024" customWidth="1"/>
    <col min="13050" max="13058" width="0" style="1024" hidden="1" customWidth="1"/>
    <col min="13059" max="13059" width="14.75" style="1024" customWidth="1"/>
    <col min="13060" max="13060" width="11" style="1024" customWidth="1"/>
    <col min="13061" max="13061" width="11.125" style="1024" customWidth="1"/>
    <col min="13062" max="13062" width="9.75" style="1024" customWidth="1"/>
    <col min="13063" max="13063" width="10.375" style="1024" customWidth="1"/>
    <col min="13064" max="13065" width="9.625" style="1024" customWidth="1"/>
    <col min="13066" max="13066" width="10.875" style="1024" customWidth="1"/>
    <col min="13067" max="13067" width="9.375" style="1024" customWidth="1"/>
    <col min="13068" max="13068" width="10.25" style="1024" customWidth="1"/>
    <col min="13069" max="13069" width="9.75" style="1024" customWidth="1"/>
    <col min="13070" max="13070" width="9.25" style="1024" customWidth="1"/>
    <col min="13071" max="13302" width="9" style="1024"/>
    <col min="13303" max="13303" width="6.25" style="1024" customWidth="1"/>
    <col min="13304" max="13304" width="10.125" style="1024" customWidth="1"/>
    <col min="13305" max="13305" width="29.375" style="1024" customWidth="1"/>
    <col min="13306" max="13314" width="0" style="1024" hidden="1" customWidth="1"/>
    <col min="13315" max="13315" width="14.75" style="1024" customWidth="1"/>
    <col min="13316" max="13316" width="11" style="1024" customWidth="1"/>
    <col min="13317" max="13317" width="11.125" style="1024" customWidth="1"/>
    <col min="13318" max="13318" width="9.75" style="1024" customWidth="1"/>
    <col min="13319" max="13319" width="10.375" style="1024" customWidth="1"/>
    <col min="13320" max="13321" width="9.625" style="1024" customWidth="1"/>
    <col min="13322" max="13322" width="10.875" style="1024" customWidth="1"/>
    <col min="13323" max="13323" width="9.375" style="1024" customWidth="1"/>
    <col min="13324" max="13324" width="10.25" style="1024" customWidth="1"/>
    <col min="13325" max="13325" width="9.75" style="1024" customWidth="1"/>
    <col min="13326" max="13326" width="9.25" style="1024" customWidth="1"/>
    <col min="13327" max="13558" width="9" style="1024"/>
    <col min="13559" max="13559" width="6.25" style="1024" customWidth="1"/>
    <col min="13560" max="13560" width="10.125" style="1024" customWidth="1"/>
    <col min="13561" max="13561" width="29.375" style="1024" customWidth="1"/>
    <col min="13562" max="13570" width="0" style="1024" hidden="1" customWidth="1"/>
    <col min="13571" max="13571" width="14.75" style="1024" customWidth="1"/>
    <col min="13572" max="13572" width="11" style="1024" customWidth="1"/>
    <col min="13573" max="13573" width="11.125" style="1024" customWidth="1"/>
    <col min="13574" max="13574" width="9.75" style="1024" customWidth="1"/>
    <col min="13575" max="13575" width="10.375" style="1024" customWidth="1"/>
    <col min="13576" max="13577" width="9.625" style="1024" customWidth="1"/>
    <col min="13578" max="13578" width="10.875" style="1024" customWidth="1"/>
    <col min="13579" max="13579" width="9.375" style="1024" customWidth="1"/>
    <col min="13580" max="13580" width="10.25" style="1024" customWidth="1"/>
    <col min="13581" max="13581" width="9.75" style="1024" customWidth="1"/>
    <col min="13582" max="13582" width="9.25" style="1024" customWidth="1"/>
    <col min="13583" max="13814" width="9" style="1024"/>
    <col min="13815" max="13815" width="6.25" style="1024" customWidth="1"/>
    <col min="13816" max="13816" width="10.125" style="1024" customWidth="1"/>
    <col min="13817" max="13817" width="29.375" style="1024" customWidth="1"/>
    <col min="13818" max="13826" width="0" style="1024" hidden="1" customWidth="1"/>
    <col min="13827" max="13827" width="14.75" style="1024" customWidth="1"/>
    <col min="13828" max="13828" width="11" style="1024" customWidth="1"/>
    <col min="13829" max="13829" width="11.125" style="1024" customWidth="1"/>
    <col min="13830" max="13830" width="9.75" style="1024" customWidth="1"/>
    <col min="13831" max="13831" width="10.375" style="1024" customWidth="1"/>
    <col min="13832" max="13833" width="9.625" style="1024" customWidth="1"/>
    <col min="13834" max="13834" width="10.875" style="1024" customWidth="1"/>
    <col min="13835" max="13835" width="9.375" style="1024" customWidth="1"/>
    <col min="13836" max="13836" width="10.25" style="1024" customWidth="1"/>
    <col min="13837" max="13837" width="9.75" style="1024" customWidth="1"/>
    <col min="13838" max="13838" width="9.25" style="1024" customWidth="1"/>
    <col min="13839" max="14070" width="9" style="1024"/>
    <col min="14071" max="14071" width="6.25" style="1024" customWidth="1"/>
    <col min="14072" max="14072" width="10.125" style="1024" customWidth="1"/>
    <col min="14073" max="14073" width="29.375" style="1024" customWidth="1"/>
    <col min="14074" max="14082" width="0" style="1024" hidden="1" customWidth="1"/>
    <col min="14083" max="14083" width="14.75" style="1024" customWidth="1"/>
    <col min="14084" max="14084" width="11" style="1024" customWidth="1"/>
    <col min="14085" max="14085" width="11.125" style="1024" customWidth="1"/>
    <col min="14086" max="14086" width="9.75" style="1024" customWidth="1"/>
    <col min="14087" max="14087" width="10.375" style="1024" customWidth="1"/>
    <col min="14088" max="14089" width="9.625" style="1024" customWidth="1"/>
    <col min="14090" max="14090" width="10.875" style="1024" customWidth="1"/>
    <col min="14091" max="14091" width="9.375" style="1024" customWidth="1"/>
    <col min="14092" max="14092" width="10.25" style="1024" customWidth="1"/>
    <col min="14093" max="14093" width="9.75" style="1024" customWidth="1"/>
    <col min="14094" max="14094" width="9.25" style="1024" customWidth="1"/>
    <col min="14095" max="14326" width="9" style="1024"/>
    <col min="14327" max="14327" width="6.25" style="1024" customWidth="1"/>
    <col min="14328" max="14328" width="10.125" style="1024" customWidth="1"/>
    <col min="14329" max="14329" width="29.375" style="1024" customWidth="1"/>
    <col min="14330" max="14338" width="0" style="1024" hidden="1" customWidth="1"/>
    <col min="14339" max="14339" width="14.75" style="1024" customWidth="1"/>
    <col min="14340" max="14340" width="11" style="1024" customWidth="1"/>
    <col min="14341" max="14341" width="11.125" style="1024" customWidth="1"/>
    <col min="14342" max="14342" width="9.75" style="1024" customWidth="1"/>
    <col min="14343" max="14343" width="10.375" style="1024" customWidth="1"/>
    <col min="14344" max="14345" width="9.625" style="1024" customWidth="1"/>
    <col min="14346" max="14346" width="10.875" style="1024" customWidth="1"/>
    <col min="14347" max="14347" width="9.375" style="1024" customWidth="1"/>
    <col min="14348" max="14348" width="10.25" style="1024" customWidth="1"/>
    <col min="14349" max="14349" width="9.75" style="1024" customWidth="1"/>
    <col min="14350" max="14350" width="9.25" style="1024" customWidth="1"/>
    <col min="14351" max="14582" width="9" style="1024"/>
    <col min="14583" max="14583" width="6.25" style="1024" customWidth="1"/>
    <col min="14584" max="14584" width="10.125" style="1024" customWidth="1"/>
    <col min="14585" max="14585" width="29.375" style="1024" customWidth="1"/>
    <col min="14586" max="14594" width="0" style="1024" hidden="1" customWidth="1"/>
    <col min="14595" max="14595" width="14.75" style="1024" customWidth="1"/>
    <col min="14596" max="14596" width="11" style="1024" customWidth="1"/>
    <col min="14597" max="14597" width="11.125" style="1024" customWidth="1"/>
    <col min="14598" max="14598" width="9.75" style="1024" customWidth="1"/>
    <col min="14599" max="14599" width="10.375" style="1024" customWidth="1"/>
    <col min="14600" max="14601" width="9.625" style="1024" customWidth="1"/>
    <col min="14602" max="14602" width="10.875" style="1024" customWidth="1"/>
    <col min="14603" max="14603" width="9.375" style="1024" customWidth="1"/>
    <col min="14604" max="14604" width="10.25" style="1024" customWidth="1"/>
    <col min="14605" max="14605" width="9.75" style="1024" customWidth="1"/>
    <col min="14606" max="14606" width="9.25" style="1024" customWidth="1"/>
    <col min="14607" max="14838" width="9" style="1024"/>
    <col min="14839" max="14839" width="6.25" style="1024" customWidth="1"/>
    <col min="14840" max="14840" width="10.125" style="1024" customWidth="1"/>
    <col min="14841" max="14841" width="29.375" style="1024" customWidth="1"/>
    <col min="14842" max="14850" width="0" style="1024" hidden="1" customWidth="1"/>
    <col min="14851" max="14851" width="14.75" style="1024" customWidth="1"/>
    <col min="14852" max="14852" width="11" style="1024" customWidth="1"/>
    <col min="14853" max="14853" width="11.125" style="1024" customWidth="1"/>
    <col min="14854" max="14854" width="9.75" style="1024" customWidth="1"/>
    <col min="14855" max="14855" width="10.375" style="1024" customWidth="1"/>
    <col min="14856" max="14857" width="9.625" style="1024" customWidth="1"/>
    <col min="14858" max="14858" width="10.875" style="1024" customWidth="1"/>
    <col min="14859" max="14859" width="9.375" style="1024" customWidth="1"/>
    <col min="14860" max="14860" width="10.25" style="1024" customWidth="1"/>
    <col min="14861" max="14861" width="9.75" style="1024" customWidth="1"/>
    <col min="14862" max="14862" width="9.25" style="1024" customWidth="1"/>
    <col min="14863" max="15094" width="9" style="1024"/>
    <col min="15095" max="15095" width="6.25" style="1024" customWidth="1"/>
    <col min="15096" max="15096" width="10.125" style="1024" customWidth="1"/>
    <col min="15097" max="15097" width="29.375" style="1024" customWidth="1"/>
    <col min="15098" max="15106" width="0" style="1024" hidden="1" customWidth="1"/>
    <col min="15107" max="15107" width="14.75" style="1024" customWidth="1"/>
    <col min="15108" max="15108" width="11" style="1024" customWidth="1"/>
    <col min="15109" max="15109" width="11.125" style="1024" customWidth="1"/>
    <col min="15110" max="15110" width="9.75" style="1024" customWidth="1"/>
    <col min="15111" max="15111" width="10.375" style="1024" customWidth="1"/>
    <col min="15112" max="15113" width="9.625" style="1024" customWidth="1"/>
    <col min="15114" max="15114" width="10.875" style="1024" customWidth="1"/>
    <col min="15115" max="15115" width="9.375" style="1024" customWidth="1"/>
    <col min="15116" max="15116" width="10.25" style="1024" customWidth="1"/>
    <col min="15117" max="15117" width="9.75" style="1024" customWidth="1"/>
    <col min="15118" max="15118" width="9.25" style="1024" customWidth="1"/>
    <col min="15119" max="15350" width="9" style="1024"/>
    <col min="15351" max="15351" width="6.25" style="1024" customWidth="1"/>
    <col min="15352" max="15352" width="10.125" style="1024" customWidth="1"/>
    <col min="15353" max="15353" width="29.375" style="1024" customWidth="1"/>
    <col min="15354" max="15362" width="0" style="1024" hidden="1" customWidth="1"/>
    <col min="15363" max="15363" width="14.75" style="1024" customWidth="1"/>
    <col min="15364" max="15364" width="11" style="1024" customWidth="1"/>
    <col min="15365" max="15365" width="11.125" style="1024" customWidth="1"/>
    <col min="15366" max="15366" width="9.75" style="1024" customWidth="1"/>
    <col min="15367" max="15367" width="10.375" style="1024" customWidth="1"/>
    <col min="15368" max="15369" width="9.625" style="1024" customWidth="1"/>
    <col min="15370" max="15370" width="10.875" style="1024" customWidth="1"/>
    <col min="15371" max="15371" width="9.375" style="1024" customWidth="1"/>
    <col min="15372" max="15372" width="10.25" style="1024" customWidth="1"/>
    <col min="15373" max="15373" width="9.75" style="1024" customWidth="1"/>
    <col min="15374" max="15374" width="9.25" style="1024" customWidth="1"/>
    <col min="15375" max="15606" width="9" style="1024"/>
    <col min="15607" max="15607" width="6.25" style="1024" customWidth="1"/>
    <col min="15608" max="15608" width="10.125" style="1024" customWidth="1"/>
    <col min="15609" max="15609" width="29.375" style="1024" customWidth="1"/>
    <col min="15610" max="15618" width="0" style="1024" hidden="1" customWidth="1"/>
    <col min="15619" max="15619" width="14.75" style="1024" customWidth="1"/>
    <col min="15620" max="15620" width="11" style="1024" customWidth="1"/>
    <col min="15621" max="15621" width="11.125" style="1024" customWidth="1"/>
    <col min="15622" max="15622" width="9.75" style="1024" customWidth="1"/>
    <col min="15623" max="15623" width="10.375" style="1024" customWidth="1"/>
    <col min="15624" max="15625" width="9.625" style="1024" customWidth="1"/>
    <col min="15626" max="15626" width="10.875" style="1024" customWidth="1"/>
    <col min="15627" max="15627" width="9.375" style="1024" customWidth="1"/>
    <col min="15628" max="15628" width="10.25" style="1024" customWidth="1"/>
    <col min="15629" max="15629" width="9.75" style="1024" customWidth="1"/>
    <col min="15630" max="15630" width="9.25" style="1024" customWidth="1"/>
    <col min="15631" max="15862" width="9" style="1024"/>
    <col min="15863" max="15863" width="6.25" style="1024" customWidth="1"/>
    <col min="15864" max="15864" width="10.125" style="1024" customWidth="1"/>
    <col min="15865" max="15865" width="29.375" style="1024" customWidth="1"/>
    <col min="15866" max="15874" width="0" style="1024" hidden="1" customWidth="1"/>
    <col min="15875" max="15875" width="14.75" style="1024" customWidth="1"/>
    <col min="15876" max="15876" width="11" style="1024" customWidth="1"/>
    <col min="15877" max="15877" width="11.125" style="1024" customWidth="1"/>
    <col min="15878" max="15878" width="9.75" style="1024" customWidth="1"/>
    <col min="15879" max="15879" width="10.375" style="1024" customWidth="1"/>
    <col min="15880" max="15881" width="9.625" style="1024" customWidth="1"/>
    <col min="15882" max="15882" width="10.875" style="1024" customWidth="1"/>
    <col min="15883" max="15883" width="9.375" style="1024" customWidth="1"/>
    <col min="15884" max="15884" width="10.25" style="1024" customWidth="1"/>
    <col min="15885" max="15885" width="9.75" style="1024" customWidth="1"/>
    <col min="15886" max="15886" width="9.25" style="1024" customWidth="1"/>
    <col min="15887" max="16118" width="9" style="1024"/>
    <col min="16119" max="16119" width="6.25" style="1024" customWidth="1"/>
    <col min="16120" max="16120" width="10.125" style="1024" customWidth="1"/>
    <col min="16121" max="16121" width="29.375" style="1024" customWidth="1"/>
    <col min="16122" max="16130" width="0" style="1024" hidden="1" customWidth="1"/>
    <col min="16131" max="16131" width="14.75" style="1024" customWidth="1"/>
    <col min="16132" max="16132" width="11" style="1024" customWidth="1"/>
    <col min="16133" max="16133" width="11.125" style="1024" customWidth="1"/>
    <col min="16134" max="16134" width="9.75" style="1024" customWidth="1"/>
    <col min="16135" max="16135" width="10.375" style="1024" customWidth="1"/>
    <col min="16136" max="16137" width="9.625" style="1024" customWidth="1"/>
    <col min="16138" max="16138" width="10.875" style="1024" customWidth="1"/>
    <col min="16139" max="16139" width="9.375" style="1024" customWidth="1"/>
    <col min="16140" max="16140" width="10.25" style="1024" customWidth="1"/>
    <col min="16141" max="16141" width="9.75" style="1024" customWidth="1"/>
    <col min="16142" max="16142" width="9.25" style="1024" customWidth="1"/>
    <col min="16143" max="16384" width="9" style="1024"/>
  </cols>
  <sheetData>
    <row r="1" spans="1:20" ht="26.25" customHeight="1">
      <c r="A1" s="1021" t="s">
        <v>1441</v>
      </c>
      <c r="B1" s="1086"/>
      <c r="F1" s="1025"/>
      <c r="G1" s="1025"/>
      <c r="H1" s="1026"/>
      <c r="I1" s="1026"/>
      <c r="J1" s="1026"/>
      <c r="K1" s="1025"/>
      <c r="L1" s="1025"/>
      <c r="M1" s="1109"/>
      <c r="N1" s="1027"/>
    </row>
    <row r="2" spans="1:20" ht="23.25">
      <c r="A2" s="1028" t="s">
        <v>2</v>
      </c>
      <c r="B2" s="1087"/>
      <c r="F2" s="1029"/>
      <c r="G2" s="1029"/>
      <c r="H2" s="1030"/>
      <c r="I2" s="1030"/>
      <c r="J2" s="1030"/>
      <c r="K2" s="1029"/>
      <c r="L2" s="1029"/>
      <c r="M2" s="1110"/>
      <c r="N2" s="1029"/>
    </row>
    <row r="3" spans="1:20" s="1050" customFormat="1" ht="25.5" customHeight="1">
      <c r="A3" s="1281" t="s">
        <v>3</v>
      </c>
      <c r="B3" s="1290" t="s">
        <v>1436</v>
      </c>
      <c r="C3" s="1281" t="s">
        <v>4</v>
      </c>
      <c r="D3" s="1281" t="s">
        <v>21</v>
      </c>
      <c r="E3" s="1278" t="s">
        <v>5</v>
      </c>
      <c r="F3" s="1278" t="s">
        <v>6</v>
      </c>
      <c r="G3" s="1278" t="s">
        <v>7</v>
      </c>
      <c r="H3" s="1278" t="s">
        <v>8</v>
      </c>
      <c r="I3" s="1278" t="s">
        <v>9</v>
      </c>
      <c r="J3" s="1278" t="s">
        <v>10</v>
      </c>
      <c r="K3" s="1284" t="s">
        <v>11</v>
      </c>
      <c r="L3" s="1284" t="s">
        <v>12</v>
      </c>
      <c r="M3" s="1287" t="s">
        <v>13</v>
      </c>
      <c r="N3" s="1278" t="s">
        <v>14</v>
      </c>
      <c r="O3" s="1293" t="s">
        <v>1449</v>
      </c>
      <c r="P3" s="1275" t="s">
        <v>1450</v>
      </c>
      <c r="Q3" s="1275" t="s">
        <v>1451</v>
      </c>
      <c r="R3" s="1275" t="s">
        <v>1452</v>
      </c>
      <c r="S3" s="1278" t="s">
        <v>859</v>
      </c>
      <c r="T3" s="1278" t="s">
        <v>860</v>
      </c>
    </row>
    <row r="4" spans="1:20" s="1050" customFormat="1" ht="21" customHeight="1">
      <c r="A4" s="1282"/>
      <c r="B4" s="1291"/>
      <c r="C4" s="1282"/>
      <c r="D4" s="1282"/>
      <c r="E4" s="1279"/>
      <c r="F4" s="1279"/>
      <c r="G4" s="1279"/>
      <c r="H4" s="1279"/>
      <c r="I4" s="1279"/>
      <c r="J4" s="1279"/>
      <c r="K4" s="1285"/>
      <c r="L4" s="1285"/>
      <c r="M4" s="1288"/>
      <c r="N4" s="1279"/>
      <c r="O4" s="1294"/>
      <c r="P4" s="1276"/>
      <c r="Q4" s="1276"/>
      <c r="R4" s="1276"/>
      <c r="S4" s="1279"/>
      <c r="T4" s="1279"/>
    </row>
    <row r="5" spans="1:20" s="1050" customFormat="1" ht="13.5" customHeight="1">
      <c r="A5" s="1283"/>
      <c r="B5" s="1292"/>
      <c r="C5" s="1283"/>
      <c r="D5" s="1283"/>
      <c r="E5" s="1280"/>
      <c r="F5" s="1280"/>
      <c r="G5" s="1280"/>
      <c r="H5" s="1280"/>
      <c r="I5" s="1280"/>
      <c r="J5" s="1280"/>
      <c r="K5" s="1286"/>
      <c r="L5" s="1286"/>
      <c r="M5" s="1289"/>
      <c r="N5" s="1280"/>
      <c r="O5" s="1295"/>
      <c r="P5" s="1277"/>
      <c r="Q5" s="1277"/>
      <c r="R5" s="1277"/>
      <c r="S5" s="1280"/>
      <c r="T5" s="1280"/>
    </row>
    <row r="6" spans="1:20" s="1050" customFormat="1" ht="21">
      <c r="A6" s="1051">
        <v>1</v>
      </c>
      <c r="B6" s="1052" t="s">
        <v>31</v>
      </c>
      <c r="C6" s="1052">
        <v>2</v>
      </c>
      <c r="D6" s="1051">
        <v>3</v>
      </c>
      <c r="E6" s="1051">
        <v>4</v>
      </c>
      <c r="F6" s="1051">
        <v>5</v>
      </c>
      <c r="G6" s="1051">
        <v>6</v>
      </c>
      <c r="H6" s="1051">
        <v>7</v>
      </c>
      <c r="I6" s="1051">
        <v>8</v>
      </c>
      <c r="J6" s="1051">
        <v>9</v>
      </c>
      <c r="K6" s="1051">
        <v>10</v>
      </c>
      <c r="L6" s="1051">
        <v>11</v>
      </c>
      <c r="M6" s="1052">
        <v>12</v>
      </c>
      <c r="N6" s="1051">
        <v>13</v>
      </c>
      <c r="O6" s="1161">
        <v>14</v>
      </c>
      <c r="P6" s="1051">
        <v>15</v>
      </c>
      <c r="Q6" s="1051">
        <v>16</v>
      </c>
      <c r="R6" s="1051">
        <v>17</v>
      </c>
      <c r="S6" s="1051">
        <v>18</v>
      </c>
      <c r="T6" s="1051">
        <v>19</v>
      </c>
    </row>
    <row r="7" spans="1:20" s="1040" customFormat="1" ht="23.25" customHeight="1">
      <c r="A7" s="1032" t="s">
        <v>1447</v>
      </c>
      <c r="B7" s="1033"/>
      <c r="C7" s="1034"/>
      <c r="D7" s="1035"/>
      <c r="E7" s="1036"/>
      <c r="F7" s="1036"/>
      <c r="G7" s="1036"/>
      <c r="H7" s="1036"/>
      <c r="I7" s="1036"/>
      <c r="J7" s="1036"/>
      <c r="K7" s="1036"/>
      <c r="L7" s="1036"/>
      <c r="M7" s="1033"/>
      <c r="N7" s="1039"/>
      <c r="O7" s="1038" t="s">
        <v>546</v>
      </c>
      <c r="P7" s="1037"/>
      <c r="Q7" s="1037"/>
      <c r="R7" s="1037"/>
      <c r="S7" s="1037"/>
      <c r="T7" s="1039"/>
    </row>
    <row r="8" spans="1:20" s="1040" customFormat="1" ht="23.25" customHeight="1">
      <c r="A8" s="1041" t="s">
        <v>1448</v>
      </c>
      <c r="B8" s="1042"/>
      <c r="C8" s="1043"/>
      <c r="D8" s="1031"/>
      <c r="E8" s="1037"/>
      <c r="F8" s="1037"/>
      <c r="G8" s="1037"/>
      <c r="H8" s="1037"/>
      <c r="I8" s="1037"/>
      <c r="J8" s="1037"/>
      <c r="K8" s="1037"/>
      <c r="L8" s="1037"/>
      <c r="M8" s="1042"/>
      <c r="N8" s="1039"/>
      <c r="O8" s="1038" t="s">
        <v>546</v>
      </c>
      <c r="P8" s="1037"/>
      <c r="Q8" s="1037"/>
      <c r="R8" s="1037"/>
      <c r="S8" s="1037"/>
      <c r="T8" s="1039"/>
    </row>
    <row r="9" spans="1:20" ht="21.75" customHeight="1">
      <c r="A9" s="1113">
        <v>1</v>
      </c>
      <c r="B9" s="1114" t="s">
        <v>1437</v>
      </c>
      <c r="C9" s="987" t="s">
        <v>1276</v>
      </c>
      <c r="D9" s="1018" t="s">
        <v>1446</v>
      </c>
      <c r="E9" s="1270" t="s">
        <v>1588</v>
      </c>
      <c r="F9" s="1273" t="s">
        <v>1589</v>
      </c>
      <c r="G9" s="1273" t="s">
        <v>1590</v>
      </c>
      <c r="H9" s="1273" t="s">
        <v>1591</v>
      </c>
      <c r="I9" s="1273" t="s">
        <v>1592</v>
      </c>
      <c r="J9" s="1273" t="s">
        <v>1593</v>
      </c>
      <c r="K9" s="1060"/>
      <c r="L9" s="1060"/>
      <c r="M9" s="1088" t="s">
        <v>522</v>
      </c>
      <c r="N9" s="990" t="s">
        <v>34</v>
      </c>
      <c r="O9" s="1162"/>
      <c r="P9" s="1044"/>
      <c r="Q9" s="1044"/>
      <c r="R9" s="1044"/>
      <c r="S9" s="1044"/>
      <c r="T9" s="1044"/>
    </row>
    <row r="10" spans="1:20" ht="21">
      <c r="A10" s="1115"/>
      <c r="B10" s="1116" t="s">
        <v>1438</v>
      </c>
      <c r="C10" s="987" t="s">
        <v>1418</v>
      </c>
      <c r="D10" s="1403">
        <v>10076000</v>
      </c>
      <c r="E10" s="1271"/>
      <c r="F10" s="1266"/>
      <c r="G10" s="1266"/>
      <c r="H10" s="1266"/>
      <c r="I10" s="1266"/>
      <c r="J10" s="1266"/>
      <c r="K10" s="1173"/>
      <c r="L10" s="1173"/>
      <c r="M10" s="1088" t="s">
        <v>1469</v>
      </c>
      <c r="N10" s="990">
        <f>N11+N12+N13+N14+N33</f>
        <v>10076000</v>
      </c>
      <c r="O10" s="1162"/>
      <c r="P10" s="1044"/>
      <c r="Q10" s="1044"/>
      <c r="R10" s="1044"/>
      <c r="S10" s="1044"/>
      <c r="T10" s="1044"/>
    </row>
    <row r="11" spans="1:20" ht="21">
      <c r="A11" s="1115"/>
      <c r="B11" s="1116" t="s">
        <v>1439</v>
      </c>
      <c r="C11" s="1001" t="s">
        <v>1428</v>
      </c>
      <c r="D11" s="1404">
        <v>7966200</v>
      </c>
      <c r="E11" s="1271"/>
      <c r="F11" s="1266"/>
      <c r="G11" s="1266"/>
      <c r="H11" s="1266"/>
      <c r="I11" s="1266"/>
      <c r="J11" s="1266"/>
      <c r="K11" s="1173"/>
      <c r="L11" s="1173"/>
      <c r="M11" s="1088" t="s">
        <v>1469</v>
      </c>
      <c r="N11" s="991">
        <f>8306700-340500</f>
        <v>7966200</v>
      </c>
      <c r="O11" s="1162"/>
      <c r="P11" s="1044"/>
      <c r="Q11" s="1044"/>
      <c r="R11" s="1044"/>
      <c r="S11" s="1044"/>
      <c r="T11" s="1044"/>
    </row>
    <row r="12" spans="1:20" ht="21">
      <c r="A12" s="1117"/>
      <c r="B12" s="1118" t="s">
        <v>1440</v>
      </c>
      <c r="C12" s="1009" t="s">
        <v>1429</v>
      </c>
      <c r="D12" s="1404">
        <v>340500</v>
      </c>
      <c r="E12" s="1271"/>
      <c r="F12" s="1266"/>
      <c r="G12" s="1266"/>
      <c r="H12" s="1266"/>
      <c r="I12" s="1266"/>
      <c r="J12" s="1266"/>
      <c r="K12" s="1173"/>
      <c r="L12" s="1173"/>
      <c r="M12" s="1088" t="s">
        <v>1469</v>
      </c>
      <c r="N12" s="991">
        <v>340500</v>
      </c>
      <c r="O12" s="1044"/>
      <c r="P12" s="1044"/>
      <c r="Q12" s="1044"/>
      <c r="R12" s="1044"/>
      <c r="S12" s="1044"/>
      <c r="T12" s="1044"/>
    </row>
    <row r="13" spans="1:20" ht="21">
      <c r="A13" s="1117"/>
      <c r="B13" s="1118"/>
      <c r="C13" s="1009" t="s">
        <v>1430</v>
      </c>
      <c r="D13" s="1404">
        <v>315000</v>
      </c>
      <c r="E13" s="1271"/>
      <c r="F13" s="1266"/>
      <c r="G13" s="1266"/>
      <c r="H13" s="1266"/>
      <c r="I13" s="1266"/>
      <c r="J13" s="1266"/>
      <c r="K13" s="1173"/>
      <c r="L13" s="1173"/>
      <c r="M13" s="1088" t="s">
        <v>1469</v>
      </c>
      <c r="N13" s="991">
        <v>315000</v>
      </c>
      <c r="O13" s="1044"/>
      <c r="P13" s="1044"/>
      <c r="Q13" s="1044"/>
      <c r="R13" s="1044"/>
      <c r="S13" s="1044"/>
      <c r="T13" s="1044"/>
    </row>
    <row r="14" spans="1:20" ht="21">
      <c r="A14" s="1117"/>
      <c r="B14" s="1118"/>
      <c r="C14" s="1009" t="s">
        <v>1431</v>
      </c>
      <c r="D14" s="1402">
        <v>1454300</v>
      </c>
      <c r="E14" s="1271"/>
      <c r="F14" s="1266"/>
      <c r="G14" s="1266"/>
      <c r="H14" s="1266"/>
      <c r="I14" s="1266"/>
      <c r="J14" s="1266"/>
      <c r="K14" s="1173"/>
      <c r="L14" s="1173"/>
      <c r="M14" s="1088" t="s">
        <v>1469</v>
      </c>
      <c r="N14" s="991">
        <f>N16+N18+N19+N20+N21+N22+N23+N24+N32</f>
        <v>1454300</v>
      </c>
      <c r="O14" s="1044"/>
      <c r="P14" s="1044"/>
      <c r="Q14" s="1044"/>
      <c r="R14" s="1044"/>
      <c r="S14" s="1044"/>
      <c r="T14" s="1044"/>
    </row>
    <row r="15" spans="1:20" ht="21">
      <c r="A15" s="1117"/>
      <c r="B15" s="1118"/>
      <c r="C15" s="1002" t="s">
        <v>1432</v>
      </c>
      <c r="D15" s="1404"/>
      <c r="E15" s="1271"/>
      <c r="F15" s="1266"/>
      <c r="G15" s="1266"/>
      <c r="H15" s="1266"/>
      <c r="I15" s="1266"/>
      <c r="J15" s="1266"/>
      <c r="K15" s="1173"/>
      <c r="L15" s="1173"/>
      <c r="M15" s="1088" t="s">
        <v>1469</v>
      </c>
      <c r="N15" s="991"/>
      <c r="O15" s="1044"/>
      <c r="P15" s="1044"/>
      <c r="Q15" s="1044"/>
      <c r="R15" s="1044"/>
      <c r="S15" s="1044"/>
      <c r="T15" s="1044"/>
    </row>
    <row r="16" spans="1:20" ht="42">
      <c r="A16" s="1117"/>
      <c r="B16" s="1118"/>
      <c r="C16" s="1000" t="s">
        <v>1277</v>
      </c>
      <c r="D16" s="1404">
        <v>63700</v>
      </c>
      <c r="E16" s="1271"/>
      <c r="F16" s="1266"/>
      <c r="G16" s="1266"/>
      <c r="H16" s="1266"/>
      <c r="I16" s="1266"/>
      <c r="J16" s="1266"/>
      <c r="K16" s="1173"/>
      <c r="L16" s="1173"/>
      <c r="M16" s="1088" t="s">
        <v>1469</v>
      </c>
      <c r="N16" s="991">
        <v>63700</v>
      </c>
      <c r="O16" s="1044"/>
      <c r="P16" s="1044"/>
      <c r="Q16" s="1044"/>
      <c r="R16" s="1044"/>
      <c r="S16" s="1044"/>
      <c r="T16" s="1044"/>
    </row>
    <row r="17" spans="1:20" ht="21">
      <c r="A17" s="1117"/>
      <c r="B17" s="1118"/>
      <c r="C17" s="1002" t="s">
        <v>1433</v>
      </c>
      <c r="D17" s="1404"/>
      <c r="E17" s="1271"/>
      <c r="F17" s="1266"/>
      <c r="G17" s="1266"/>
      <c r="H17" s="1266"/>
      <c r="I17" s="1266"/>
      <c r="J17" s="1266"/>
      <c r="K17" s="1173"/>
      <c r="L17" s="1173"/>
      <c r="M17" s="1088" t="s">
        <v>1469</v>
      </c>
      <c r="N17" s="991"/>
      <c r="O17" s="1044"/>
      <c r="P17" s="1044"/>
      <c r="Q17" s="1044"/>
      <c r="R17" s="1044"/>
      <c r="S17" s="1044"/>
      <c r="T17" s="1044"/>
    </row>
    <row r="18" spans="1:20" ht="21">
      <c r="A18" s="1117"/>
      <c r="B18" s="1118"/>
      <c r="C18" s="1012" t="s">
        <v>1278</v>
      </c>
      <c r="D18" s="1404">
        <v>25100</v>
      </c>
      <c r="E18" s="1271"/>
      <c r="F18" s="1266"/>
      <c r="G18" s="1266"/>
      <c r="H18" s="1266"/>
      <c r="I18" s="1266"/>
      <c r="J18" s="1266"/>
      <c r="K18" s="1173"/>
      <c r="L18" s="1173"/>
      <c r="M18" s="1088" t="s">
        <v>1469</v>
      </c>
      <c r="N18" s="991">
        <v>25100</v>
      </c>
      <c r="O18" s="1044"/>
      <c r="P18" s="1044"/>
      <c r="Q18" s="1044"/>
      <c r="R18" s="1044"/>
      <c r="S18" s="1044"/>
      <c r="T18" s="1044"/>
    </row>
    <row r="19" spans="1:20" ht="21">
      <c r="A19" s="1117"/>
      <c r="B19" s="1118"/>
      <c r="C19" s="1012" t="s">
        <v>1279</v>
      </c>
      <c r="D19" s="1404">
        <v>70000</v>
      </c>
      <c r="E19" s="1271"/>
      <c r="F19" s="1266"/>
      <c r="G19" s="1266"/>
      <c r="H19" s="1266"/>
      <c r="I19" s="1266"/>
      <c r="J19" s="1266"/>
      <c r="K19" s="1173"/>
      <c r="L19" s="1173"/>
      <c r="M19" s="1088" t="s">
        <v>1469</v>
      </c>
      <c r="N19" s="991">
        <v>70000</v>
      </c>
      <c r="O19" s="1044"/>
      <c r="P19" s="1044"/>
      <c r="Q19" s="1044"/>
      <c r="R19" s="1044"/>
      <c r="S19" s="1044"/>
      <c r="T19" s="1044"/>
    </row>
    <row r="20" spans="1:20" ht="42">
      <c r="A20" s="1117"/>
      <c r="B20" s="1118"/>
      <c r="C20" s="1012" t="s">
        <v>1280</v>
      </c>
      <c r="D20" s="1404">
        <v>0</v>
      </c>
      <c r="E20" s="1271"/>
      <c r="F20" s="1266"/>
      <c r="G20" s="1266"/>
      <c r="H20" s="1266"/>
      <c r="I20" s="1266"/>
      <c r="J20" s="1266"/>
      <c r="K20" s="1173"/>
      <c r="L20" s="1173"/>
      <c r="M20" s="1088" t="s">
        <v>1469</v>
      </c>
      <c r="N20" s="991">
        <v>0</v>
      </c>
      <c r="O20" s="1044"/>
      <c r="P20" s="1044"/>
      <c r="Q20" s="1044"/>
      <c r="R20" s="1044"/>
      <c r="S20" s="1044"/>
      <c r="T20" s="1044"/>
    </row>
    <row r="21" spans="1:20" ht="21">
      <c r="A21" s="1117"/>
      <c r="B21" s="1118"/>
      <c r="C21" s="1012" t="s">
        <v>1281</v>
      </c>
      <c r="D21" s="1404">
        <v>0</v>
      </c>
      <c r="E21" s="1271"/>
      <c r="F21" s="1266"/>
      <c r="G21" s="1266"/>
      <c r="H21" s="1266"/>
      <c r="I21" s="1266"/>
      <c r="J21" s="1266"/>
      <c r="K21" s="1173"/>
      <c r="L21" s="1173"/>
      <c r="M21" s="1088" t="s">
        <v>1469</v>
      </c>
      <c r="N21" s="991">
        <v>0</v>
      </c>
      <c r="O21" s="1044"/>
      <c r="P21" s="1044"/>
      <c r="Q21" s="1044"/>
      <c r="R21" s="1044"/>
      <c r="S21" s="1044"/>
      <c r="T21" s="1044"/>
    </row>
    <row r="22" spans="1:20" ht="42">
      <c r="A22" s="1119"/>
      <c r="B22" s="1118"/>
      <c r="C22" s="1015" t="s">
        <v>1376</v>
      </c>
      <c r="D22" s="1405">
        <v>0</v>
      </c>
      <c r="E22" s="1271"/>
      <c r="F22" s="1266"/>
      <c r="G22" s="1266"/>
      <c r="H22" s="1266"/>
      <c r="I22" s="1266"/>
      <c r="J22" s="1266"/>
      <c r="K22" s="1173"/>
      <c r="L22" s="1173"/>
      <c r="M22" s="1088" t="s">
        <v>1469</v>
      </c>
      <c r="N22" s="1005">
        <v>0</v>
      </c>
      <c r="O22" s="1044"/>
      <c r="P22" s="1044"/>
      <c r="Q22" s="1044"/>
      <c r="R22" s="1044"/>
      <c r="S22" s="1044"/>
      <c r="T22" s="1044"/>
    </row>
    <row r="23" spans="1:20" ht="21">
      <c r="A23" s="1117"/>
      <c r="B23" s="1118"/>
      <c r="C23" s="1012" t="s">
        <v>1282</v>
      </c>
      <c r="D23" s="1404">
        <v>0</v>
      </c>
      <c r="E23" s="1271"/>
      <c r="F23" s="1266"/>
      <c r="G23" s="1266"/>
      <c r="H23" s="1266"/>
      <c r="I23" s="1266"/>
      <c r="J23" s="1266"/>
      <c r="K23" s="1173"/>
      <c r="L23" s="1173"/>
      <c r="M23" s="1088" t="s">
        <v>1469</v>
      </c>
      <c r="N23" s="991">
        <v>0</v>
      </c>
      <c r="O23" s="1044"/>
      <c r="P23" s="1044"/>
      <c r="Q23" s="1044"/>
      <c r="R23" s="1044"/>
      <c r="S23" s="1044"/>
      <c r="T23" s="1044"/>
    </row>
    <row r="24" spans="1:20" ht="21">
      <c r="A24" s="1117"/>
      <c r="B24" s="1091"/>
      <c r="C24" s="1012" t="s">
        <v>1419</v>
      </c>
      <c r="D24" s="1404">
        <v>515000</v>
      </c>
      <c r="E24" s="1272"/>
      <c r="F24" s="1274"/>
      <c r="G24" s="1274"/>
      <c r="H24" s="1274"/>
      <c r="I24" s="1274"/>
      <c r="J24" s="1274"/>
      <c r="K24" s="1071"/>
      <c r="L24" s="1071"/>
      <c r="M24" s="1088" t="s">
        <v>1469</v>
      </c>
      <c r="N24" s="991">
        <f>SUM(N25:N30)</f>
        <v>515000</v>
      </c>
      <c r="O24" s="1044"/>
      <c r="P24" s="1044"/>
      <c r="Q24" s="1044"/>
      <c r="R24" s="1044"/>
      <c r="S24" s="1044"/>
      <c r="T24" s="1044"/>
    </row>
    <row r="25" spans="1:20" ht="129" customHeight="1">
      <c r="A25" s="1121"/>
      <c r="B25" s="1088" t="s">
        <v>55</v>
      </c>
      <c r="C25" s="1016" t="s">
        <v>1377</v>
      </c>
      <c r="D25" s="1018" t="s">
        <v>1446</v>
      </c>
      <c r="E25" s="1234" t="s">
        <v>1594</v>
      </c>
      <c r="F25" s="1235" t="s">
        <v>1595</v>
      </c>
      <c r="G25" s="1236" t="s">
        <v>608</v>
      </c>
      <c r="H25" s="1231" t="s">
        <v>609</v>
      </c>
      <c r="I25" s="1231" t="s">
        <v>610</v>
      </c>
      <c r="J25" s="1232" t="s">
        <v>1596</v>
      </c>
      <c r="K25" s="1233" t="s">
        <v>878</v>
      </c>
      <c r="L25" s="1044"/>
      <c r="M25" s="1088" t="s">
        <v>1469</v>
      </c>
      <c r="N25" s="1017">
        <v>25000</v>
      </c>
      <c r="O25" s="1044"/>
      <c r="P25" s="1044"/>
      <c r="Q25" s="1044"/>
      <c r="R25" s="1044"/>
      <c r="S25" s="1044"/>
      <c r="T25" s="1044"/>
    </row>
    <row r="26" spans="1:20" ht="150" customHeight="1">
      <c r="A26" s="1120"/>
      <c r="B26" s="1091" t="s">
        <v>55</v>
      </c>
      <c r="C26" s="1159" t="s">
        <v>1378</v>
      </c>
      <c r="D26" s="1018" t="s">
        <v>1446</v>
      </c>
      <c r="E26" s="1237" t="s">
        <v>1597</v>
      </c>
      <c r="F26" s="1238" t="s">
        <v>1598</v>
      </c>
      <c r="G26" s="1238" t="s">
        <v>1599</v>
      </c>
      <c r="H26" s="1238" t="s">
        <v>1600</v>
      </c>
      <c r="I26" s="1238" t="s">
        <v>1601</v>
      </c>
      <c r="J26" s="1238" t="s">
        <v>1602</v>
      </c>
      <c r="K26" s="1044"/>
      <c r="L26" s="1044"/>
      <c r="M26" s="1088" t="s">
        <v>1469</v>
      </c>
      <c r="N26" s="1017">
        <v>50000</v>
      </c>
      <c r="O26" s="1044"/>
      <c r="P26" s="1044"/>
      <c r="Q26" s="1044"/>
      <c r="R26" s="1044"/>
      <c r="S26" s="1044"/>
      <c r="T26" s="1044"/>
    </row>
    <row r="27" spans="1:20" s="1167" customFormat="1" ht="324.75" customHeight="1">
      <c r="A27" s="1163"/>
      <c r="B27" s="1164" t="s">
        <v>101</v>
      </c>
      <c r="C27" s="1165" t="s">
        <v>1379</v>
      </c>
      <c r="D27" s="1406" t="s">
        <v>1446</v>
      </c>
      <c r="E27" s="1169" t="s">
        <v>1486</v>
      </c>
      <c r="F27" s="1170" t="s">
        <v>1487</v>
      </c>
      <c r="G27" s="1170" t="s">
        <v>1488</v>
      </c>
      <c r="H27" s="1170" t="s">
        <v>1489</v>
      </c>
      <c r="I27" s="1088" t="s">
        <v>1490</v>
      </c>
      <c r="J27" s="1088" t="s">
        <v>1491</v>
      </c>
      <c r="K27" s="1164"/>
      <c r="L27" s="1171" t="s">
        <v>1492</v>
      </c>
      <c r="M27" s="1164" t="s">
        <v>1469</v>
      </c>
      <c r="N27" s="1166">
        <v>40000</v>
      </c>
      <c r="O27" s="1164"/>
      <c r="P27" s="1164"/>
      <c r="Q27" s="1164"/>
      <c r="R27" s="1164"/>
      <c r="S27" s="1164"/>
      <c r="T27" s="1164"/>
    </row>
    <row r="28" spans="1:20" ht="39" customHeight="1">
      <c r="A28" s="1120"/>
      <c r="B28" s="1088" t="s">
        <v>455</v>
      </c>
      <c r="C28" s="1016" t="s">
        <v>1380</v>
      </c>
      <c r="D28" s="1018" t="s">
        <v>1446</v>
      </c>
      <c r="E28" s="1229" t="s">
        <v>1579</v>
      </c>
      <c r="F28" s="1229" t="s">
        <v>34</v>
      </c>
      <c r="G28" s="1229" t="s">
        <v>1580</v>
      </c>
      <c r="H28" s="1044"/>
      <c r="I28" s="1044"/>
      <c r="J28" s="1044"/>
      <c r="K28" s="1044"/>
      <c r="L28" s="1044"/>
      <c r="M28" s="1088" t="s">
        <v>1469</v>
      </c>
      <c r="N28" s="1017">
        <v>350000</v>
      </c>
      <c r="O28" s="1044"/>
      <c r="P28" s="1044"/>
      <c r="Q28" s="1044"/>
      <c r="R28" s="1044"/>
      <c r="S28" s="1044"/>
      <c r="T28" s="1044"/>
    </row>
    <row r="29" spans="1:20" ht="152.25" customHeight="1">
      <c r="A29" s="1120"/>
      <c r="B29" s="1088" t="s">
        <v>89</v>
      </c>
      <c r="C29" s="1016" t="s">
        <v>1381</v>
      </c>
      <c r="D29" s="1018" t="s">
        <v>1446</v>
      </c>
      <c r="E29" s="1396" t="s">
        <v>1667</v>
      </c>
      <c r="F29" s="1229" t="s">
        <v>34</v>
      </c>
      <c r="G29" s="1229" t="s">
        <v>1583</v>
      </c>
      <c r="H29" s="1044"/>
      <c r="I29" s="1044"/>
      <c r="J29" s="1044"/>
      <c r="K29" s="1044"/>
      <c r="L29" s="1044"/>
      <c r="M29" s="1088" t="s">
        <v>1469</v>
      </c>
      <c r="N29" s="1017">
        <v>25000</v>
      </c>
      <c r="O29" s="1044"/>
      <c r="P29" s="1044"/>
      <c r="Q29" s="1044"/>
      <c r="R29" s="1044"/>
      <c r="S29" s="1044"/>
      <c r="T29" s="1044"/>
    </row>
    <row r="30" spans="1:20" ht="57.75" customHeight="1">
      <c r="A30" s="1120"/>
      <c r="B30" s="1088" t="s">
        <v>455</v>
      </c>
      <c r="C30" s="1016" t="s">
        <v>1382</v>
      </c>
      <c r="D30" s="1018" t="s">
        <v>1446</v>
      </c>
      <c r="E30" s="1229" t="s">
        <v>1584</v>
      </c>
      <c r="F30" s="1229" t="s">
        <v>34</v>
      </c>
      <c r="G30" s="1229" t="s">
        <v>1585</v>
      </c>
      <c r="H30" s="1044"/>
      <c r="I30" s="1044"/>
      <c r="J30" s="1044"/>
      <c r="K30" s="1044"/>
      <c r="L30" s="1044"/>
      <c r="M30" s="1088" t="s">
        <v>1469</v>
      </c>
      <c r="N30" s="1017">
        <v>25000</v>
      </c>
      <c r="O30" s="1044"/>
      <c r="P30" s="1044"/>
      <c r="Q30" s="1044"/>
      <c r="R30" s="1044"/>
      <c r="S30" s="1044"/>
      <c r="T30" s="1044"/>
    </row>
    <row r="31" spans="1:20" ht="21">
      <c r="A31" s="1117"/>
      <c r="B31" s="1090"/>
      <c r="C31" s="1002" t="s">
        <v>1434</v>
      </c>
      <c r="D31" s="1407" t="s">
        <v>1670</v>
      </c>
      <c r="E31" s="1044"/>
      <c r="F31" s="1044"/>
      <c r="G31" s="1044"/>
      <c r="H31" s="1044"/>
      <c r="I31" s="1044"/>
      <c r="J31" s="1044"/>
      <c r="K31" s="1044"/>
      <c r="L31" s="1044"/>
      <c r="M31" s="1088" t="s">
        <v>1469</v>
      </c>
      <c r="N31" s="991"/>
      <c r="O31" s="1044"/>
      <c r="P31" s="1044"/>
      <c r="Q31" s="1044"/>
      <c r="R31" s="1044"/>
      <c r="S31" s="1044"/>
      <c r="T31" s="1044"/>
    </row>
    <row r="32" spans="1:20" ht="21">
      <c r="A32" s="1117"/>
      <c r="B32" s="1118"/>
      <c r="C32" s="1012" t="s">
        <v>1283</v>
      </c>
      <c r="D32" s="991">
        <v>780500</v>
      </c>
      <c r="E32" s="1060"/>
      <c r="F32" s="1060"/>
      <c r="G32" s="1060"/>
      <c r="H32" s="1060"/>
      <c r="I32" s="1060"/>
      <c r="J32" s="1060"/>
      <c r="K32" s="1060"/>
      <c r="L32" s="1060"/>
      <c r="M32" s="1088" t="s">
        <v>1469</v>
      </c>
      <c r="N32" s="991">
        <v>780500</v>
      </c>
      <c r="O32" s="1044"/>
      <c r="P32" s="1044"/>
      <c r="Q32" s="1044"/>
      <c r="R32" s="1044"/>
      <c r="S32" s="1044"/>
      <c r="T32" s="1044"/>
    </row>
    <row r="33" spans="1:20" ht="21">
      <c r="A33" s="1117"/>
      <c r="B33" s="1118"/>
      <c r="C33" s="1009" t="s">
        <v>1435</v>
      </c>
      <c r="D33" s="991">
        <v>0</v>
      </c>
      <c r="E33" s="1173"/>
      <c r="F33" s="1173"/>
      <c r="G33" s="1173"/>
      <c r="H33" s="1173"/>
      <c r="I33" s="1173"/>
      <c r="J33" s="1173"/>
      <c r="K33" s="1173"/>
      <c r="L33" s="1173"/>
      <c r="M33" s="1088" t="s">
        <v>1469</v>
      </c>
      <c r="N33" s="991">
        <v>0</v>
      </c>
      <c r="O33" s="1044"/>
      <c r="P33" s="1044"/>
      <c r="Q33" s="1044"/>
      <c r="R33" s="1044"/>
      <c r="S33" s="1044"/>
      <c r="T33" s="1044"/>
    </row>
    <row r="34" spans="1:20" ht="21">
      <c r="A34" s="1123"/>
      <c r="B34" s="1118"/>
      <c r="C34" s="987" t="s">
        <v>1420</v>
      </c>
      <c r="D34" s="997">
        <f>D35+D36+D48+D50</f>
        <v>1973300</v>
      </c>
      <c r="E34" s="1173"/>
      <c r="F34" s="1173"/>
      <c r="G34" s="1173"/>
      <c r="H34" s="1173"/>
      <c r="I34" s="1173"/>
      <c r="J34" s="1173"/>
      <c r="K34" s="1173"/>
      <c r="L34" s="1173"/>
      <c r="M34" s="1088" t="s">
        <v>520</v>
      </c>
      <c r="N34" s="997">
        <f>N35+N36+N48+N50</f>
        <v>1973300</v>
      </c>
      <c r="O34" s="1044"/>
      <c r="P34" s="1044"/>
      <c r="Q34" s="1044"/>
      <c r="R34" s="1044"/>
      <c r="S34" s="1044"/>
      <c r="T34" s="1044"/>
    </row>
    <row r="35" spans="1:20" ht="21">
      <c r="A35" s="1123"/>
      <c r="B35" s="1118"/>
      <c r="C35" s="1009" t="s">
        <v>1421</v>
      </c>
      <c r="D35" s="991">
        <v>113900</v>
      </c>
      <c r="E35" s="1173"/>
      <c r="F35" s="1173"/>
      <c r="G35" s="1173"/>
      <c r="H35" s="1173"/>
      <c r="I35" s="1173"/>
      <c r="J35" s="1173"/>
      <c r="K35" s="1173"/>
      <c r="L35" s="1173"/>
      <c r="M35" s="1088" t="s">
        <v>520</v>
      </c>
      <c r="N35" s="991">
        <v>113900</v>
      </c>
      <c r="O35" s="1044"/>
      <c r="P35" s="1044"/>
      <c r="Q35" s="1044"/>
      <c r="R35" s="1044"/>
      <c r="S35" s="1044"/>
      <c r="T35" s="1044"/>
    </row>
    <row r="36" spans="1:20" ht="21">
      <c r="A36" s="1123"/>
      <c r="B36" s="1118"/>
      <c r="C36" s="1009" t="s">
        <v>1422</v>
      </c>
      <c r="D36" s="991">
        <f>D38+D40+D42+D43+D44+D45+D47</f>
        <v>1002000</v>
      </c>
      <c r="E36" s="1173"/>
      <c r="F36" s="1173"/>
      <c r="G36" s="1173"/>
      <c r="H36" s="1173"/>
      <c r="I36" s="1173"/>
      <c r="J36" s="1173"/>
      <c r="K36" s="1173"/>
      <c r="L36" s="1173"/>
      <c r="M36" s="1088" t="s">
        <v>520</v>
      </c>
      <c r="N36" s="991">
        <f>N38+N40+N42+N43+N44+N45+N47</f>
        <v>1002000</v>
      </c>
      <c r="O36" s="1044"/>
      <c r="P36" s="1044"/>
      <c r="Q36" s="1044"/>
      <c r="R36" s="1044"/>
      <c r="S36" s="1044"/>
      <c r="T36" s="1044"/>
    </row>
    <row r="37" spans="1:20" ht="21">
      <c r="A37" s="1123"/>
      <c r="B37" s="1118"/>
      <c r="C37" s="1011" t="s">
        <v>1423</v>
      </c>
      <c r="D37" s="991"/>
      <c r="E37" s="1173"/>
      <c r="F37" s="1173"/>
      <c r="G37" s="1173"/>
      <c r="H37" s="1173"/>
      <c r="I37" s="1173"/>
      <c r="J37" s="1173"/>
      <c r="K37" s="1173"/>
      <c r="L37" s="1173"/>
      <c r="M37" s="1088" t="s">
        <v>520</v>
      </c>
      <c r="N37" s="991"/>
      <c r="O37" s="1044"/>
      <c r="P37" s="1044"/>
      <c r="Q37" s="1044"/>
      <c r="R37" s="1044"/>
      <c r="S37" s="1044"/>
      <c r="T37" s="1044"/>
    </row>
    <row r="38" spans="1:20" ht="63">
      <c r="A38" s="1123"/>
      <c r="B38" s="1118"/>
      <c r="C38" s="1000" t="s">
        <v>1671</v>
      </c>
      <c r="D38" s="991">
        <v>567600</v>
      </c>
      <c r="E38" s="1173"/>
      <c r="F38" s="1173"/>
      <c r="G38" s="1173"/>
      <c r="H38" s="1173"/>
      <c r="I38" s="1173"/>
      <c r="J38" s="1173"/>
      <c r="K38" s="1173"/>
      <c r="L38" s="1173"/>
      <c r="M38" s="1088" t="s">
        <v>520</v>
      </c>
      <c r="N38" s="991">
        <v>567600</v>
      </c>
      <c r="O38" s="1044"/>
      <c r="P38" s="1044"/>
      <c r="Q38" s="1044"/>
      <c r="R38" s="1044"/>
      <c r="S38" s="1044"/>
      <c r="T38" s="1044"/>
    </row>
    <row r="39" spans="1:20" ht="21">
      <c r="A39" s="1123"/>
      <c r="B39" s="1118"/>
      <c r="C39" s="1011" t="s">
        <v>1424</v>
      </c>
      <c r="D39" s="991" t="s">
        <v>34</v>
      </c>
      <c r="E39" s="1173"/>
      <c r="F39" s="1173"/>
      <c r="G39" s="1173"/>
      <c r="H39" s="1173"/>
      <c r="I39" s="1173"/>
      <c r="J39" s="1173"/>
      <c r="K39" s="1173"/>
      <c r="L39" s="1173"/>
      <c r="M39" s="1088" t="s">
        <v>520</v>
      </c>
      <c r="N39" s="991" t="s">
        <v>34</v>
      </c>
      <c r="O39" s="1044"/>
      <c r="P39" s="1044"/>
      <c r="Q39" s="1044"/>
      <c r="R39" s="1044"/>
      <c r="S39" s="1044"/>
      <c r="T39" s="1044"/>
    </row>
    <row r="40" spans="1:20" ht="21">
      <c r="A40" s="1123"/>
      <c r="B40" s="1118"/>
      <c r="C40" s="1012" t="s">
        <v>1278</v>
      </c>
      <c r="D40" s="991">
        <v>130000</v>
      </c>
      <c r="E40" s="1173"/>
      <c r="F40" s="1173"/>
      <c r="G40" s="1173"/>
      <c r="H40" s="1173"/>
      <c r="I40" s="1173"/>
      <c r="J40" s="1173"/>
      <c r="K40" s="1173"/>
      <c r="L40" s="1173"/>
      <c r="M40" s="1088" t="s">
        <v>520</v>
      </c>
      <c r="N40" s="991">
        <v>130000</v>
      </c>
      <c r="O40" s="1044"/>
      <c r="P40" s="1044"/>
      <c r="Q40" s="1044"/>
      <c r="R40" s="1044"/>
      <c r="S40" s="1044"/>
      <c r="T40" s="1044"/>
    </row>
    <row r="41" spans="1:20" ht="21">
      <c r="A41" s="1160"/>
      <c r="B41" s="1091"/>
      <c r="C41" s="1012" t="s">
        <v>1279</v>
      </c>
      <c r="D41" s="991">
        <v>0</v>
      </c>
      <c r="E41" s="1173"/>
      <c r="F41" s="1173"/>
      <c r="G41" s="1173"/>
      <c r="H41" s="1173"/>
      <c r="I41" s="1173"/>
      <c r="J41" s="1173"/>
      <c r="K41" s="1173"/>
      <c r="L41" s="1173"/>
      <c r="M41" s="1088" t="s">
        <v>520</v>
      </c>
      <c r="N41" s="991">
        <v>0</v>
      </c>
      <c r="O41" s="1044"/>
      <c r="P41" s="1044"/>
      <c r="Q41" s="1044"/>
      <c r="R41" s="1044"/>
      <c r="S41" s="1044"/>
      <c r="T41" s="1044"/>
    </row>
    <row r="42" spans="1:20" ht="42">
      <c r="A42" s="1123"/>
      <c r="B42" s="1118"/>
      <c r="C42" s="1012" t="s">
        <v>1280</v>
      </c>
      <c r="D42" s="991">
        <v>20000</v>
      </c>
      <c r="E42" s="1173"/>
      <c r="F42" s="1173"/>
      <c r="G42" s="1173"/>
      <c r="H42" s="1173"/>
      <c r="I42" s="1173"/>
      <c r="J42" s="1173"/>
      <c r="K42" s="1173"/>
      <c r="L42" s="1173"/>
      <c r="M42" s="1088" t="s">
        <v>520</v>
      </c>
      <c r="N42" s="991">
        <v>20000</v>
      </c>
      <c r="O42" s="1044"/>
      <c r="P42" s="1044"/>
      <c r="Q42" s="1044"/>
      <c r="R42" s="1044"/>
      <c r="S42" s="1044"/>
      <c r="T42" s="1044"/>
    </row>
    <row r="43" spans="1:20" ht="21">
      <c r="A43" s="1123"/>
      <c r="B43" s="1118"/>
      <c r="C43" s="1012" t="s">
        <v>1281</v>
      </c>
      <c r="D43" s="991">
        <v>210000</v>
      </c>
      <c r="E43" s="1173"/>
      <c r="F43" s="1173"/>
      <c r="G43" s="1173"/>
      <c r="H43" s="1173"/>
      <c r="I43" s="1173"/>
      <c r="J43" s="1173"/>
      <c r="K43" s="1173"/>
      <c r="L43" s="1173"/>
      <c r="M43" s="1088" t="s">
        <v>520</v>
      </c>
      <c r="N43" s="991">
        <v>210000</v>
      </c>
      <c r="O43" s="1044"/>
      <c r="P43" s="1044"/>
      <c r="Q43" s="1044"/>
      <c r="R43" s="1044"/>
      <c r="S43" s="1044"/>
      <c r="T43" s="1044"/>
    </row>
    <row r="44" spans="1:20" ht="42">
      <c r="A44" s="1123"/>
      <c r="B44" s="1118"/>
      <c r="C44" s="1015" t="s">
        <v>1376</v>
      </c>
      <c r="D44" s="1005">
        <f>4800+28800</f>
        <v>33600</v>
      </c>
      <c r="E44" s="1173"/>
      <c r="F44" s="1173"/>
      <c r="G44" s="1173"/>
      <c r="H44" s="1173"/>
      <c r="I44" s="1173"/>
      <c r="J44" s="1173"/>
      <c r="K44" s="1173"/>
      <c r="L44" s="1173"/>
      <c r="M44" s="1088" t="s">
        <v>520</v>
      </c>
      <c r="N44" s="1005">
        <f>4800+28800</f>
        <v>33600</v>
      </c>
      <c r="O44" s="1044"/>
      <c r="P44" s="1044"/>
      <c r="Q44" s="1044"/>
      <c r="R44" s="1044"/>
      <c r="S44" s="1044"/>
      <c r="T44" s="1044"/>
    </row>
    <row r="45" spans="1:20" ht="21">
      <c r="A45" s="1123"/>
      <c r="B45" s="1118"/>
      <c r="C45" s="1012" t="s">
        <v>1282</v>
      </c>
      <c r="D45" s="991">
        <v>10800</v>
      </c>
      <c r="E45" s="1173"/>
      <c r="F45" s="1173"/>
      <c r="G45" s="1173"/>
      <c r="H45" s="1173"/>
      <c r="I45" s="1173"/>
      <c r="J45" s="1173"/>
      <c r="K45" s="1173"/>
      <c r="L45" s="1173"/>
      <c r="M45" s="1088" t="s">
        <v>520</v>
      </c>
      <c r="N45" s="991">
        <v>10800</v>
      </c>
      <c r="O45" s="1044"/>
      <c r="P45" s="1044"/>
      <c r="Q45" s="1044"/>
      <c r="R45" s="1044"/>
      <c r="S45" s="1044"/>
      <c r="T45" s="1044"/>
    </row>
    <row r="46" spans="1:20" ht="21">
      <c r="A46" s="1123"/>
      <c r="B46" s="1118"/>
      <c r="C46" s="1002" t="s">
        <v>1425</v>
      </c>
      <c r="D46" s="1044"/>
      <c r="E46" s="1173"/>
      <c r="F46" s="1173"/>
      <c r="G46" s="1173"/>
      <c r="H46" s="1173"/>
      <c r="I46" s="1173"/>
      <c r="J46" s="1173"/>
      <c r="K46" s="1173"/>
      <c r="L46" s="1173"/>
      <c r="M46" s="1088" t="s">
        <v>520</v>
      </c>
      <c r="N46" s="1044"/>
      <c r="O46" s="1044"/>
      <c r="P46" s="1044"/>
      <c r="Q46" s="1044"/>
      <c r="R46" s="1044"/>
      <c r="S46" s="1044"/>
      <c r="T46" s="1044"/>
    </row>
    <row r="47" spans="1:20" ht="21">
      <c r="A47" s="1123"/>
      <c r="B47" s="1118"/>
      <c r="C47" s="1012" t="s">
        <v>1283</v>
      </c>
      <c r="D47" s="991">
        <v>30000</v>
      </c>
      <c r="E47" s="1173"/>
      <c r="F47" s="1173"/>
      <c r="G47" s="1173"/>
      <c r="H47" s="1173"/>
      <c r="I47" s="1173"/>
      <c r="J47" s="1173"/>
      <c r="K47" s="1173"/>
      <c r="L47" s="1173"/>
      <c r="M47" s="1088" t="s">
        <v>520</v>
      </c>
      <c r="N47" s="991">
        <v>30000</v>
      </c>
      <c r="O47" s="1044"/>
      <c r="P47" s="1044"/>
      <c r="Q47" s="1044"/>
      <c r="R47" s="1044"/>
      <c r="S47" s="1044"/>
      <c r="T47" s="1044"/>
    </row>
    <row r="48" spans="1:20" ht="42">
      <c r="A48" s="1123"/>
      <c r="B48" s="1118"/>
      <c r="C48" s="1009" t="s">
        <v>1672</v>
      </c>
      <c r="D48" s="991">
        <v>12000</v>
      </c>
      <c r="E48" s="1173"/>
      <c r="F48" s="1173"/>
      <c r="G48" s="1173"/>
      <c r="H48" s="1173"/>
      <c r="I48" s="1173"/>
      <c r="J48" s="1173"/>
      <c r="K48" s="1173"/>
      <c r="L48" s="1173"/>
      <c r="M48" s="1088" t="s">
        <v>520</v>
      </c>
      <c r="N48" s="991">
        <v>12000</v>
      </c>
      <c r="O48" s="1044"/>
      <c r="P48" s="1044"/>
      <c r="Q48" s="1044"/>
      <c r="R48" s="1044"/>
      <c r="S48" s="1044"/>
      <c r="T48" s="1044"/>
    </row>
    <row r="49" spans="1:20" ht="21">
      <c r="A49" s="1123"/>
      <c r="B49" s="1118"/>
      <c r="C49" s="1010" t="s">
        <v>1427</v>
      </c>
      <c r="D49" s="1044"/>
      <c r="E49" s="1173" t="s">
        <v>34</v>
      </c>
      <c r="F49" s="1173"/>
      <c r="G49" s="1173"/>
      <c r="H49" s="1173"/>
      <c r="I49" s="1173"/>
      <c r="J49" s="1173"/>
      <c r="K49" s="1173"/>
      <c r="L49" s="1173"/>
      <c r="M49" s="1088" t="s">
        <v>520</v>
      </c>
      <c r="N49" s="1044"/>
      <c r="O49" s="1044"/>
      <c r="P49" s="1044"/>
      <c r="Q49" s="1044"/>
      <c r="R49" s="1044"/>
      <c r="S49" s="1044"/>
      <c r="T49" s="1044"/>
    </row>
    <row r="50" spans="1:20" ht="21.75" thickBot="1">
      <c r="A50" s="1124"/>
      <c r="B50" s="1125"/>
      <c r="C50" s="1057" t="s">
        <v>1383</v>
      </c>
      <c r="D50" s="1059">
        <v>845400</v>
      </c>
      <c r="E50" s="1174"/>
      <c r="F50" s="1174"/>
      <c r="G50" s="1174"/>
      <c r="H50" s="1174"/>
      <c r="I50" s="1174"/>
      <c r="J50" s="1174"/>
      <c r="K50" s="1174"/>
      <c r="L50" s="1174"/>
      <c r="M50" s="1089" t="s">
        <v>520</v>
      </c>
      <c r="N50" s="1059">
        <v>845400</v>
      </c>
      <c r="O50" s="1056"/>
      <c r="P50" s="1056"/>
      <c r="Q50" s="1056"/>
      <c r="R50" s="1056"/>
      <c r="S50" s="1056"/>
      <c r="T50" s="1056"/>
    </row>
    <row r="51" spans="1:20" ht="21">
      <c r="A51" s="1126">
        <v>2</v>
      </c>
      <c r="B51" s="1127" t="s">
        <v>55</v>
      </c>
      <c r="C51" s="1053" t="s">
        <v>1444</v>
      </c>
      <c r="D51" s="1408" t="s">
        <v>1453</v>
      </c>
      <c r="E51" s="1265" t="s">
        <v>1603</v>
      </c>
      <c r="F51" s="1265" t="s">
        <v>1604</v>
      </c>
      <c r="G51" s="1265" t="s">
        <v>1605</v>
      </c>
      <c r="H51" s="1265" t="s">
        <v>1606</v>
      </c>
      <c r="I51" s="1265" t="s">
        <v>1607</v>
      </c>
      <c r="J51" s="1265" t="s">
        <v>1608</v>
      </c>
      <c r="K51" s="1175"/>
      <c r="L51" s="1175"/>
      <c r="M51" s="1091"/>
      <c r="N51" s="1054">
        <f>SUM(N53:N58)</f>
        <v>50000</v>
      </c>
      <c r="O51" s="1055">
        <v>0</v>
      </c>
      <c r="P51" s="1071"/>
      <c r="Q51" s="1071"/>
      <c r="R51" s="1071"/>
      <c r="S51" s="1071"/>
      <c r="T51" s="1071"/>
    </row>
    <row r="52" spans="1:20" ht="21">
      <c r="A52" s="1128"/>
      <c r="B52" s="1128"/>
      <c r="C52" s="986" t="s">
        <v>1445</v>
      </c>
      <c r="D52" s="1054">
        <f>SUM(D53:D58)</f>
        <v>50000</v>
      </c>
      <c r="E52" s="1266"/>
      <c r="F52" s="1266"/>
      <c r="G52" s="1266"/>
      <c r="H52" s="1266"/>
      <c r="I52" s="1266"/>
      <c r="J52" s="1266"/>
      <c r="K52" s="1173"/>
      <c r="L52" s="1173"/>
      <c r="M52" s="1088"/>
      <c r="N52" s="993"/>
      <c r="O52" s="994"/>
      <c r="P52" s="1044"/>
      <c r="Q52" s="1044"/>
      <c r="R52" s="1044"/>
      <c r="S52" s="1044"/>
      <c r="T52" s="1044"/>
    </row>
    <row r="53" spans="1:20" ht="42">
      <c r="A53" s="1128"/>
      <c r="B53" s="1118"/>
      <c r="C53" s="1007" t="s">
        <v>1673</v>
      </c>
      <c r="D53" s="994">
        <v>7200</v>
      </c>
      <c r="E53" s="1266"/>
      <c r="F53" s="1266"/>
      <c r="G53" s="1266"/>
      <c r="H53" s="1266"/>
      <c r="I53" s="1266"/>
      <c r="J53" s="1266"/>
      <c r="K53" s="1173"/>
      <c r="L53" s="1173"/>
      <c r="M53" s="1088" t="s">
        <v>1469</v>
      </c>
      <c r="N53" s="994">
        <f>600*6*2</f>
        <v>7200</v>
      </c>
      <c r="O53" s="994"/>
      <c r="P53" s="1044"/>
      <c r="Q53" s="1044"/>
      <c r="R53" s="1044"/>
      <c r="S53" s="1044"/>
      <c r="T53" s="1044"/>
    </row>
    <row r="54" spans="1:20" ht="42">
      <c r="A54" s="1129"/>
      <c r="B54" s="1118"/>
      <c r="C54" s="1007" t="s">
        <v>1674</v>
      </c>
      <c r="D54" s="995">
        <f>25*45*4</f>
        <v>4500</v>
      </c>
      <c r="E54" s="1266"/>
      <c r="F54" s="1266"/>
      <c r="G54" s="1266"/>
      <c r="H54" s="1266"/>
      <c r="I54" s="1266"/>
      <c r="J54" s="1266"/>
      <c r="K54" s="1173"/>
      <c r="L54" s="1173"/>
      <c r="M54" s="1088" t="s">
        <v>1469</v>
      </c>
      <c r="N54" s="995">
        <f>25*45*4</f>
        <v>4500</v>
      </c>
      <c r="O54" s="995">
        <v>0</v>
      </c>
      <c r="P54" s="1044"/>
      <c r="Q54" s="1044"/>
      <c r="R54" s="1044"/>
      <c r="S54" s="1044"/>
      <c r="T54" s="1044"/>
    </row>
    <row r="55" spans="1:20" ht="42">
      <c r="A55" s="1129"/>
      <c r="B55" s="1118"/>
      <c r="C55" s="1007" t="s">
        <v>1675</v>
      </c>
      <c r="D55" s="995">
        <v>13500</v>
      </c>
      <c r="E55" s="1266"/>
      <c r="F55" s="1266"/>
      <c r="G55" s="1266"/>
      <c r="H55" s="1266"/>
      <c r="I55" s="1266"/>
      <c r="J55" s="1266"/>
      <c r="K55" s="1173"/>
      <c r="L55" s="1173"/>
      <c r="M55" s="1088" t="s">
        <v>1469</v>
      </c>
      <c r="N55" s="995">
        <f>150*45*2</f>
        <v>13500</v>
      </c>
      <c r="O55" s="995"/>
      <c r="P55" s="1044"/>
      <c r="Q55" s="1044"/>
      <c r="R55" s="1044"/>
      <c r="S55" s="1044"/>
      <c r="T55" s="1044"/>
    </row>
    <row r="56" spans="1:20" ht="42">
      <c r="A56" s="1129"/>
      <c r="B56" s="1118"/>
      <c r="C56" s="1007" t="s">
        <v>1676</v>
      </c>
      <c r="D56" s="995">
        <v>16000</v>
      </c>
      <c r="E56" s="1266"/>
      <c r="F56" s="1266"/>
      <c r="G56" s="1266"/>
      <c r="H56" s="1266"/>
      <c r="I56" s="1266"/>
      <c r="J56" s="1266"/>
      <c r="K56" s="1173"/>
      <c r="L56" s="1173"/>
      <c r="M56" s="1088" t="s">
        <v>1469</v>
      </c>
      <c r="N56" s="995">
        <f>8000*2</f>
        <v>16000</v>
      </c>
      <c r="O56" s="995">
        <v>0</v>
      </c>
      <c r="P56" s="1044"/>
      <c r="Q56" s="1044"/>
      <c r="R56" s="1044"/>
      <c r="S56" s="1044"/>
      <c r="T56" s="1044"/>
    </row>
    <row r="57" spans="1:20" ht="42">
      <c r="A57" s="1129"/>
      <c r="B57" s="1118"/>
      <c r="C57" s="1007" t="s">
        <v>1677</v>
      </c>
      <c r="D57" s="995">
        <f>1200*2*2</f>
        <v>4800</v>
      </c>
      <c r="E57" s="1266"/>
      <c r="F57" s="1266"/>
      <c r="G57" s="1266"/>
      <c r="H57" s="1266"/>
      <c r="I57" s="1266"/>
      <c r="J57" s="1266"/>
      <c r="K57" s="1173"/>
      <c r="L57" s="1173"/>
      <c r="M57" s="1088" t="s">
        <v>1469</v>
      </c>
      <c r="N57" s="995">
        <f>1200*2*2</f>
        <v>4800</v>
      </c>
      <c r="O57" s="995">
        <v>0</v>
      </c>
      <c r="P57" s="1044"/>
      <c r="Q57" s="1044"/>
      <c r="R57" s="1044"/>
      <c r="S57" s="1044"/>
      <c r="T57" s="1044"/>
    </row>
    <row r="58" spans="1:20" ht="42.75" thickBot="1">
      <c r="A58" s="1129"/>
      <c r="B58" s="1118"/>
      <c r="C58" s="1413" t="s">
        <v>1678</v>
      </c>
      <c r="D58" s="1069">
        <v>4000</v>
      </c>
      <c r="E58" s="1266"/>
      <c r="F58" s="1266"/>
      <c r="G58" s="1266"/>
      <c r="H58" s="1266"/>
      <c r="I58" s="1266"/>
      <c r="J58" s="1266"/>
      <c r="K58" s="1173"/>
      <c r="L58" s="1173"/>
      <c r="M58" s="1088" t="s">
        <v>1469</v>
      </c>
      <c r="N58" s="1067">
        <v>4000</v>
      </c>
      <c r="O58" s="1067">
        <v>0</v>
      </c>
      <c r="P58" s="1060"/>
      <c r="Q58" s="1060"/>
      <c r="R58" s="1060"/>
      <c r="S58" s="1060"/>
      <c r="T58" s="1060"/>
    </row>
    <row r="59" spans="1:20" ht="21">
      <c r="A59" s="1131">
        <v>3</v>
      </c>
      <c r="B59" s="1132" t="s">
        <v>577</v>
      </c>
      <c r="C59" s="1062" t="s">
        <v>1287</v>
      </c>
      <c r="D59" s="1075" t="s">
        <v>1456</v>
      </c>
      <c r="E59" s="1260" t="s">
        <v>851</v>
      </c>
      <c r="F59" s="1260" t="s">
        <v>852</v>
      </c>
      <c r="G59" s="1260" t="s">
        <v>849</v>
      </c>
      <c r="H59" s="1260" t="s">
        <v>797</v>
      </c>
      <c r="I59" s="1260" t="s">
        <v>519</v>
      </c>
      <c r="J59" s="1260" t="s">
        <v>57</v>
      </c>
      <c r="K59" s="1260"/>
      <c r="L59" s="1260"/>
      <c r="M59" s="1091"/>
      <c r="N59" s="1063">
        <v>100000</v>
      </c>
      <c r="O59" s="1064">
        <v>0</v>
      </c>
      <c r="P59" s="1071"/>
      <c r="Q59" s="1071"/>
      <c r="R59" s="1071"/>
      <c r="S59" s="1071"/>
      <c r="T59" s="1071"/>
    </row>
    <row r="60" spans="1:20" ht="21">
      <c r="A60" s="1117"/>
      <c r="B60" s="1118"/>
      <c r="C60" s="985" t="s">
        <v>1384</v>
      </c>
      <c r="D60" s="991">
        <v>100000</v>
      </c>
      <c r="E60" s="1259"/>
      <c r="F60" s="1259"/>
      <c r="G60" s="1259"/>
      <c r="H60" s="1259"/>
      <c r="I60" s="1259"/>
      <c r="J60" s="1259"/>
      <c r="K60" s="1259"/>
      <c r="L60" s="1259"/>
      <c r="M60" s="1088" t="s">
        <v>1469</v>
      </c>
      <c r="N60" s="991">
        <v>100000</v>
      </c>
      <c r="O60" s="991">
        <v>0</v>
      </c>
      <c r="P60" s="1044"/>
      <c r="Q60" s="1044"/>
      <c r="R60" s="1044"/>
      <c r="S60" s="1044"/>
      <c r="T60" s="1044"/>
    </row>
    <row r="61" spans="1:20" ht="42">
      <c r="A61" s="1117"/>
      <c r="B61" s="1118">
        <f>12000/240</f>
        <v>50</v>
      </c>
      <c r="C61" s="1009" t="s">
        <v>1679</v>
      </c>
      <c r="D61" s="991">
        <f>240*50</f>
        <v>12000</v>
      </c>
      <c r="E61" s="1259"/>
      <c r="F61" s="1259"/>
      <c r="G61" s="1259"/>
      <c r="H61" s="1259"/>
      <c r="I61" s="1259"/>
      <c r="J61" s="1259"/>
      <c r="K61" s="1259"/>
      <c r="L61" s="1259"/>
      <c r="M61" s="1088" t="s">
        <v>1469</v>
      </c>
      <c r="N61" s="991">
        <v>12000</v>
      </c>
      <c r="O61" s="991">
        <v>0</v>
      </c>
      <c r="P61" s="1044"/>
      <c r="Q61" s="1044"/>
      <c r="R61" s="1044"/>
      <c r="S61" s="1044"/>
      <c r="T61" s="1044"/>
    </row>
    <row r="62" spans="1:20" ht="21">
      <c r="A62" s="1117"/>
      <c r="B62" s="1118"/>
      <c r="C62" s="1009" t="s">
        <v>1680</v>
      </c>
      <c r="D62" s="991">
        <f>500*50</f>
        <v>25000</v>
      </c>
      <c r="E62" s="1259"/>
      <c r="F62" s="1259"/>
      <c r="G62" s="1259"/>
      <c r="H62" s="1259"/>
      <c r="I62" s="1259"/>
      <c r="J62" s="1259"/>
      <c r="K62" s="1259"/>
      <c r="L62" s="1259"/>
      <c r="M62" s="1088" t="s">
        <v>1469</v>
      </c>
      <c r="N62" s="991">
        <v>25000</v>
      </c>
      <c r="O62" s="991">
        <v>0</v>
      </c>
      <c r="P62" s="1044"/>
      <c r="Q62" s="1044"/>
      <c r="R62" s="1044"/>
      <c r="S62" s="1044"/>
      <c r="T62" s="1044"/>
    </row>
    <row r="63" spans="1:20" ht="42">
      <c r="A63" s="1117"/>
      <c r="B63" s="1118"/>
      <c r="C63" s="1009" t="s">
        <v>1681</v>
      </c>
      <c r="D63" s="991">
        <v>13000</v>
      </c>
      <c r="E63" s="1259"/>
      <c r="F63" s="1259"/>
      <c r="G63" s="1259"/>
      <c r="H63" s="1259"/>
      <c r="I63" s="1259"/>
      <c r="J63" s="1259"/>
      <c r="K63" s="1259"/>
      <c r="L63" s="1259"/>
      <c r="M63" s="1088" t="s">
        <v>1469</v>
      </c>
      <c r="N63" s="991">
        <v>13000</v>
      </c>
      <c r="O63" s="991">
        <v>0</v>
      </c>
      <c r="P63" s="1044"/>
      <c r="Q63" s="1044"/>
      <c r="R63" s="1044"/>
      <c r="S63" s="1044"/>
      <c r="T63" s="1044"/>
    </row>
    <row r="64" spans="1:20" ht="42.75" thickBot="1">
      <c r="A64" s="1133"/>
      <c r="B64" s="1125"/>
      <c r="C64" s="1076" t="s">
        <v>1682</v>
      </c>
      <c r="D64" s="1078">
        <v>50000</v>
      </c>
      <c r="E64" s="1261"/>
      <c r="F64" s="1261"/>
      <c r="G64" s="1261"/>
      <c r="H64" s="1261"/>
      <c r="I64" s="1261"/>
      <c r="J64" s="1261"/>
      <c r="K64" s="1261"/>
      <c r="L64" s="1261"/>
      <c r="M64" s="1089" t="s">
        <v>1469</v>
      </c>
      <c r="N64" s="1078">
        <v>50000</v>
      </c>
      <c r="O64" s="1078">
        <v>0</v>
      </c>
      <c r="P64" s="1056"/>
      <c r="Q64" s="1056"/>
      <c r="R64" s="1056"/>
      <c r="S64" s="1056"/>
      <c r="T64" s="1056"/>
    </row>
    <row r="65" spans="1:20" ht="21" customHeight="1">
      <c r="A65" s="1131">
        <v>4</v>
      </c>
      <c r="B65" s="1132" t="s">
        <v>1442</v>
      </c>
      <c r="C65" s="1254" t="s">
        <v>1291</v>
      </c>
      <c r="D65" s="1255" t="s">
        <v>1457</v>
      </c>
      <c r="E65" s="1262" t="s">
        <v>1505</v>
      </c>
      <c r="F65" s="1262" t="s">
        <v>1506</v>
      </c>
      <c r="G65" s="1262" t="s">
        <v>1507</v>
      </c>
      <c r="H65" s="1262" t="s">
        <v>655</v>
      </c>
      <c r="I65" s="1262" t="s">
        <v>519</v>
      </c>
      <c r="J65" s="1262" t="s">
        <v>1508</v>
      </c>
      <c r="K65" s="1262" t="s">
        <v>1509</v>
      </c>
      <c r="L65" s="1262"/>
      <c r="M65" s="1256" t="s">
        <v>1469</v>
      </c>
      <c r="N65" s="1257">
        <v>1180000</v>
      </c>
      <c r="O65" s="1064">
        <v>0</v>
      </c>
      <c r="P65" s="1071"/>
      <c r="Q65" s="1071"/>
      <c r="R65" s="1071"/>
      <c r="S65" s="1071"/>
      <c r="T65" s="1071"/>
    </row>
    <row r="66" spans="1:20" ht="21">
      <c r="A66" s="1115"/>
      <c r="B66" s="1116" t="s">
        <v>1443</v>
      </c>
      <c r="C66" s="985" t="s">
        <v>1297</v>
      </c>
      <c r="D66" s="1409">
        <v>870000</v>
      </c>
      <c r="E66" s="1263"/>
      <c r="F66" s="1263"/>
      <c r="G66" s="1263"/>
      <c r="H66" s="1263"/>
      <c r="I66" s="1263"/>
      <c r="J66" s="1263"/>
      <c r="K66" s="1263"/>
      <c r="L66" s="1263"/>
      <c r="M66" s="1088" t="s">
        <v>1469</v>
      </c>
      <c r="N66" s="996">
        <v>870000</v>
      </c>
      <c r="O66" s="996">
        <v>0</v>
      </c>
      <c r="P66" s="1044"/>
      <c r="Q66" s="1044"/>
      <c r="R66" s="1044"/>
      <c r="S66" s="1044"/>
      <c r="T66" s="1044"/>
    </row>
    <row r="67" spans="1:20" ht="21">
      <c r="A67" s="1115"/>
      <c r="B67" s="1118"/>
      <c r="C67" s="1009" t="s">
        <v>1385</v>
      </c>
      <c r="D67" s="1409"/>
      <c r="E67" s="1263"/>
      <c r="F67" s="1263"/>
      <c r="G67" s="1263"/>
      <c r="H67" s="1263"/>
      <c r="I67" s="1263"/>
      <c r="J67" s="1263"/>
      <c r="K67" s="1263"/>
      <c r="L67" s="1263"/>
      <c r="M67" s="1088" t="s">
        <v>1469</v>
      </c>
      <c r="N67" s="996"/>
      <c r="O67" s="996"/>
      <c r="P67" s="1044"/>
      <c r="Q67" s="1044"/>
      <c r="R67" s="1044"/>
      <c r="S67" s="1044"/>
      <c r="T67" s="1044"/>
    </row>
    <row r="68" spans="1:20" ht="42">
      <c r="A68" s="1117"/>
      <c r="B68" s="1118"/>
      <c r="C68" s="1011" t="s">
        <v>1292</v>
      </c>
      <c r="D68" s="1409" t="s">
        <v>39</v>
      </c>
      <c r="E68" s="1251"/>
      <c r="F68" s="1263"/>
      <c r="G68" s="1263"/>
      <c r="H68" s="1263"/>
      <c r="I68" s="1263"/>
      <c r="J68" s="1263"/>
      <c r="K68" s="1263"/>
      <c r="L68" s="1263"/>
      <c r="M68" s="1088" t="s">
        <v>1469</v>
      </c>
      <c r="N68" s="991">
        <v>280000</v>
      </c>
      <c r="O68" s="991">
        <v>0</v>
      </c>
      <c r="P68" s="1044"/>
      <c r="Q68" s="1044"/>
      <c r="R68" s="1044"/>
      <c r="S68" s="1044"/>
      <c r="T68" s="1044"/>
    </row>
    <row r="69" spans="1:20" ht="42">
      <c r="A69" s="1117"/>
      <c r="B69" s="1118"/>
      <c r="C69" s="1011" t="s">
        <v>1293</v>
      </c>
      <c r="D69" s="1409" t="s">
        <v>34</v>
      </c>
      <c r="E69" s="1251"/>
      <c r="F69" s="1263"/>
      <c r="G69" s="1263"/>
      <c r="H69" s="1263"/>
      <c r="I69" s="1263"/>
      <c r="J69" s="1263"/>
      <c r="K69" s="1263"/>
      <c r="L69" s="1263"/>
      <c r="M69" s="1088" t="s">
        <v>1469</v>
      </c>
      <c r="N69" s="991">
        <v>490000</v>
      </c>
      <c r="O69" s="991">
        <v>0</v>
      </c>
      <c r="P69" s="1044"/>
      <c r="Q69" s="1044"/>
      <c r="R69" s="1044"/>
      <c r="S69" s="1044"/>
      <c r="T69" s="1044"/>
    </row>
    <row r="70" spans="1:20" ht="21">
      <c r="A70" s="1003"/>
      <c r="B70" s="1091"/>
      <c r="C70" s="1009" t="s">
        <v>1386</v>
      </c>
      <c r="D70" s="1410"/>
      <c r="E70" s="1258"/>
      <c r="F70" s="1264"/>
      <c r="G70" s="1264"/>
      <c r="H70" s="1264"/>
      <c r="I70" s="1264"/>
      <c r="J70" s="1264"/>
      <c r="K70" s="1264"/>
      <c r="L70" s="1264"/>
      <c r="M70" s="1088" t="s">
        <v>1469</v>
      </c>
      <c r="N70" s="991"/>
      <c r="O70" s="991"/>
      <c r="P70" s="1044"/>
      <c r="Q70" s="1044"/>
      <c r="R70" s="1044"/>
      <c r="S70" s="1044"/>
      <c r="T70" s="1044"/>
    </row>
    <row r="71" spans="1:20" ht="42">
      <c r="A71" s="1117"/>
      <c r="B71" s="1118"/>
      <c r="C71" s="1136" t="s">
        <v>1294</v>
      </c>
      <c r="D71" s="1411" t="s">
        <v>34</v>
      </c>
      <c r="E71" s="1251"/>
      <c r="F71" s="1252"/>
      <c r="G71" s="1252"/>
      <c r="H71" s="1252"/>
      <c r="I71" s="1252"/>
      <c r="J71" s="1252"/>
      <c r="K71" s="1252"/>
      <c r="L71" s="1173"/>
      <c r="M71" s="1091" t="s">
        <v>1469</v>
      </c>
      <c r="N71" s="1253">
        <v>20000</v>
      </c>
      <c r="O71" s="991">
        <v>0</v>
      </c>
      <c r="P71" s="1044"/>
      <c r="Q71" s="1044"/>
      <c r="R71" s="1044"/>
      <c r="S71" s="1044"/>
      <c r="T71" s="1044"/>
    </row>
    <row r="72" spans="1:20" ht="42">
      <c r="A72" s="1117"/>
      <c r="B72" s="1118"/>
      <c r="C72" s="1011" t="s">
        <v>1295</v>
      </c>
      <c r="D72" s="1409" t="s">
        <v>34</v>
      </c>
      <c r="E72" s="1173"/>
      <c r="F72" s="1173"/>
      <c r="G72" s="1173"/>
      <c r="H72" s="1173"/>
      <c r="I72" s="1173"/>
      <c r="J72" s="1173"/>
      <c r="K72" s="1173"/>
      <c r="L72" s="1173"/>
      <c r="M72" s="1088" t="s">
        <v>1469</v>
      </c>
      <c r="N72" s="991">
        <v>45000</v>
      </c>
      <c r="O72" s="991">
        <v>0</v>
      </c>
      <c r="P72" s="1044"/>
      <c r="Q72" s="1044"/>
      <c r="R72" s="1044"/>
      <c r="S72" s="1044"/>
      <c r="T72" s="1044"/>
    </row>
    <row r="73" spans="1:20" ht="21">
      <c r="A73" s="1117"/>
      <c r="B73" s="1118"/>
      <c r="C73" s="1011" t="s">
        <v>1282</v>
      </c>
      <c r="D73" s="1409" t="s">
        <v>34</v>
      </c>
      <c r="E73" s="1173"/>
      <c r="F73" s="1173"/>
      <c r="G73" s="1173"/>
      <c r="H73" s="1173"/>
      <c r="I73" s="1173"/>
      <c r="J73" s="1173"/>
      <c r="K73" s="1173"/>
      <c r="L73" s="1173"/>
      <c r="M73" s="1088" t="s">
        <v>1469</v>
      </c>
      <c r="N73" s="991">
        <v>35000</v>
      </c>
      <c r="O73" s="991">
        <v>0</v>
      </c>
      <c r="P73" s="1044"/>
      <c r="Q73" s="1044"/>
      <c r="R73" s="1044"/>
      <c r="S73" s="1044"/>
      <c r="T73" s="1044"/>
    </row>
    <row r="74" spans="1:20" ht="47.25" customHeight="1">
      <c r="A74" s="1176"/>
      <c r="B74" s="1177" t="s">
        <v>1510</v>
      </c>
      <c r="C74" s="1178" t="s">
        <v>1511</v>
      </c>
      <c r="D74" s="1210" t="s">
        <v>1457</v>
      </c>
      <c r="E74" s="1179"/>
      <c r="F74" s="1179"/>
      <c r="G74" s="1179"/>
      <c r="H74" s="1179"/>
      <c r="I74" s="1179"/>
      <c r="J74" s="1179"/>
      <c r="K74" s="1179"/>
      <c r="L74" s="1179"/>
      <c r="M74" s="1180" t="s">
        <v>1469</v>
      </c>
      <c r="N74" s="1181">
        <v>310000</v>
      </c>
      <c r="O74" s="1182">
        <v>375000</v>
      </c>
      <c r="P74" s="1182">
        <v>750000</v>
      </c>
    </row>
    <row r="75" spans="1:20" s="1190" customFormat="1" ht="142.5" customHeight="1">
      <c r="A75" s="1183"/>
      <c r="B75" s="1184" t="s">
        <v>1512</v>
      </c>
      <c r="C75" s="1185" t="s">
        <v>1513</v>
      </c>
      <c r="D75" s="1211" t="s">
        <v>1457</v>
      </c>
      <c r="E75" s="1187" t="s">
        <v>665</v>
      </c>
      <c r="F75" s="1187" t="s">
        <v>1514</v>
      </c>
      <c r="G75" s="1187" t="s">
        <v>666</v>
      </c>
      <c r="H75" s="1187" t="s">
        <v>667</v>
      </c>
      <c r="I75" s="1187" t="s">
        <v>662</v>
      </c>
      <c r="J75" s="1187" t="s">
        <v>1508</v>
      </c>
      <c r="K75" s="1268" t="s">
        <v>1515</v>
      </c>
      <c r="L75" s="1186"/>
      <c r="M75" s="1188" t="s">
        <v>1469</v>
      </c>
      <c r="N75" s="1189">
        <v>75000</v>
      </c>
      <c r="O75" s="1189">
        <v>75000</v>
      </c>
      <c r="P75" s="1189">
        <v>150000</v>
      </c>
    </row>
    <row r="76" spans="1:20" s="1190" customFormat="1" ht="126">
      <c r="A76" s="1183"/>
      <c r="B76" s="1184" t="s">
        <v>1512</v>
      </c>
      <c r="C76" s="1185" t="s">
        <v>1516</v>
      </c>
      <c r="D76" s="1211" t="s">
        <v>1457</v>
      </c>
      <c r="E76" s="1187" t="s">
        <v>663</v>
      </c>
      <c r="F76" s="1187" t="s">
        <v>664</v>
      </c>
      <c r="G76" s="1187" t="s">
        <v>660</v>
      </c>
      <c r="H76" s="1187" t="s">
        <v>661</v>
      </c>
      <c r="I76" s="1187" t="s">
        <v>662</v>
      </c>
      <c r="J76" s="1187" t="s">
        <v>1508</v>
      </c>
      <c r="K76" s="1269"/>
      <c r="L76" s="1186"/>
      <c r="M76" s="1188" t="s">
        <v>1469</v>
      </c>
      <c r="N76" s="1189">
        <v>50000</v>
      </c>
      <c r="O76" s="1189">
        <v>50000</v>
      </c>
      <c r="P76" s="1189">
        <v>100000</v>
      </c>
    </row>
    <row r="77" spans="1:20" s="1190" customFormat="1" ht="238.5" customHeight="1">
      <c r="A77" s="1191"/>
      <c r="B77" s="1192" t="s">
        <v>81</v>
      </c>
      <c r="C77" s="1191" t="s">
        <v>1517</v>
      </c>
      <c r="D77" s="1212" t="s">
        <v>1457</v>
      </c>
      <c r="E77" s="1194" t="s">
        <v>865</v>
      </c>
      <c r="F77" s="1194" t="s">
        <v>866</v>
      </c>
      <c r="G77" s="1194" t="s">
        <v>867</v>
      </c>
      <c r="H77" s="1194" t="s">
        <v>868</v>
      </c>
      <c r="I77" s="1194" t="s">
        <v>869</v>
      </c>
      <c r="J77" s="1194" t="s">
        <v>1508</v>
      </c>
      <c r="K77" s="1194" t="s">
        <v>1518</v>
      </c>
      <c r="L77" s="1193"/>
      <c r="M77" s="1195" t="s">
        <v>1469</v>
      </c>
      <c r="N77" s="1196">
        <v>40000</v>
      </c>
      <c r="O77" s="1196">
        <v>40000</v>
      </c>
      <c r="P77" s="1196">
        <v>80000</v>
      </c>
    </row>
    <row r="78" spans="1:20" s="1190" customFormat="1" ht="63">
      <c r="A78" s="1197"/>
      <c r="B78" s="1198" t="s">
        <v>55</v>
      </c>
      <c r="C78" s="1197" t="s">
        <v>1519</v>
      </c>
      <c r="D78" s="1213" t="s">
        <v>1457</v>
      </c>
      <c r="E78" s="1199"/>
      <c r="F78" s="1199"/>
      <c r="G78" s="1199"/>
      <c r="H78" s="1199"/>
      <c r="I78" s="1199"/>
      <c r="J78" s="1199"/>
      <c r="K78" s="1199"/>
      <c r="L78" s="1199"/>
      <c r="M78" s="1200" t="s">
        <v>1469</v>
      </c>
      <c r="N78" s="1201">
        <v>30000</v>
      </c>
      <c r="O78" s="1201">
        <v>30000</v>
      </c>
      <c r="P78" s="1201">
        <v>60000</v>
      </c>
    </row>
    <row r="79" spans="1:20" s="1190" customFormat="1" ht="130.5" customHeight="1">
      <c r="A79" s="1202"/>
      <c r="B79" s="1203" t="s">
        <v>1465</v>
      </c>
      <c r="C79" s="1202" t="s">
        <v>1520</v>
      </c>
      <c r="D79" s="1214" t="s">
        <v>1457</v>
      </c>
      <c r="E79" s="1205" t="s">
        <v>1521</v>
      </c>
      <c r="F79" s="1205" t="s">
        <v>1522</v>
      </c>
      <c r="G79" s="1205" t="s">
        <v>1523</v>
      </c>
      <c r="H79" s="1205" t="s">
        <v>1524</v>
      </c>
      <c r="I79" s="1205" t="s">
        <v>1525</v>
      </c>
      <c r="J79" s="1204" t="s">
        <v>1508</v>
      </c>
      <c r="K79" s="1205" t="s">
        <v>1509</v>
      </c>
      <c r="L79" s="1204"/>
      <c r="M79" s="1206" t="s">
        <v>1469</v>
      </c>
      <c r="N79" s="1207">
        <v>25000</v>
      </c>
      <c r="O79" s="1207">
        <v>25000</v>
      </c>
      <c r="P79" s="1207">
        <v>50000</v>
      </c>
    </row>
    <row r="80" spans="1:20" s="1190" customFormat="1" ht="110.25">
      <c r="A80" s="1202"/>
      <c r="B80" s="1203" t="s">
        <v>1465</v>
      </c>
      <c r="C80" s="1202" t="s">
        <v>1526</v>
      </c>
      <c r="D80" s="1214" t="s">
        <v>1457</v>
      </c>
      <c r="E80" s="1205" t="s">
        <v>1521</v>
      </c>
      <c r="F80" s="1205" t="s">
        <v>1522</v>
      </c>
      <c r="G80" s="1205" t="s">
        <v>1523</v>
      </c>
      <c r="H80" s="1205" t="s">
        <v>1527</v>
      </c>
      <c r="I80" s="1205" t="s">
        <v>1525</v>
      </c>
      <c r="J80" s="1204" t="s">
        <v>1528</v>
      </c>
      <c r="K80" s="1205" t="s">
        <v>1509</v>
      </c>
      <c r="L80" s="1204"/>
      <c r="M80" s="1206" t="s">
        <v>1469</v>
      </c>
      <c r="N80" s="1207">
        <v>45000</v>
      </c>
      <c r="O80" s="1207">
        <v>45000</v>
      </c>
      <c r="P80" s="1207">
        <v>90000</v>
      </c>
    </row>
    <row r="81" spans="1:20" s="1190" customFormat="1" ht="110.25">
      <c r="A81" s="1202"/>
      <c r="B81" s="1203" t="s">
        <v>1465</v>
      </c>
      <c r="C81" s="1202" t="s">
        <v>1529</v>
      </c>
      <c r="D81" s="1214" t="s">
        <v>1457</v>
      </c>
      <c r="E81" s="1205" t="s">
        <v>1530</v>
      </c>
      <c r="F81" s="1205" t="s">
        <v>1531</v>
      </c>
      <c r="G81" s="1205" t="s">
        <v>1532</v>
      </c>
      <c r="H81" s="1205" t="s">
        <v>1532</v>
      </c>
      <c r="I81" s="1205" t="s">
        <v>658</v>
      </c>
      <c r="J81" s="1204" t="s">
        <v>1533</v>
      </c>
      <c r="K81" s="1205" t="s">
        <v>1509</v>
      </c>
      <c r="L81" s="1204"/>
      <c r="M81" s="1206" t="s">
        <v>1469</v>
      </c>
      <c r="N81" s="1207">
        <v>60000</v>
      </c>
      <c r="O81" s="1207">
        <v>60000</v>
      </c>
      <c r="P81" s="1207">
        <v>120000</v>
      </c>
    </row>
    <row r="82" spans="1:20" s="1190" customFormat="1" ht="110.25">
      <c r="A82" s="1202"/>
      <c r="B82" s="1203" t="s">
        <v>1465</v>
      </c>
      <c r="C82" s="1202" t="s">
        <v>1534</v>
      </c>
      <c r="D82" s="1214" t="s">
        <v>1457</v>
      </c>
      <c r="E82" s="1205" t="s">
        <v>1535</v>
      </c>
      <c r="F82" s="1205" t="s">
        <v>1536</v>
      </c>
      <c r="G82" s="1205" t="s">
        <v>1537</v>
      </c>
      <c r="H82" s="1205" t="s">
        <v>1538</v>
      </c>
      <c r="I82" s="1204" t="s">
        <v>1539</v>
      </c>
      <c r="J82" s="1204" t="s">
        <v>1540</v>
      </c>
      <c r="K82" s="1205" t="s">
        <v>1509</v>
      </c>
      <c r="L82" s="1204"/>
      <c r="M82" s="1206" t="s">
        <v>1469</v>
      </c>
      <c r="N82" s="1207">
        <v>15000</v>
      </c>
      <c r="O82" s="1207">
        <v>15000</v>
      </c>
      <c r="P82" s="1207">
        <v>30000</v>
      </c>
    </row>
    <row r="83" spans="1:20" s="1190" customFormat="1" ht="189">
      <c r="A83" s="1202"/>
      <c r="B83" s="1203" t="s">
        <v>1465</v>
      </c>
      <c r="C83" s="1202" t="s">
        <v>1541</v>
      </c>
      <c r="D83" s="1214" t="s">
        <v>1457</v>
      </c>
      <c r="E83" s="1205" t="s">
        <v>1542</v>
      </c>
      <c r="F83" s="1205" t="s">
        <v>1543</v>
      </c>
      <c r="G83" s="1205" t="s">
        <v>1544</v>
      </c>
      <c r="H83" s="1205" t="s">
        <v>1544</v>
      </c>
      <c r="I83" s="1209" t="s">
        <v>1545</v>
      </c>
      <c r="J83" s="1209" t="s">
        <v>1546</v>
      </c>
      <c r="K83" s="1205" t="s">
        <v>1547</v>
      </c>
      <c r="L83" s="1204"/>
      <c r="M83" s="1206" t="s">
        <v>1469</v>
      </c>
      <c r="N83" s="1207">
        <v>20000</v>
      </c>
      <c r="O83" s="1207">
        <v>20000</v>
      </c>
      <c r="P83" s="1207">
        <v>40000</v>
      </c>
    </row>
    <row r="84" spans="1:20" s="1190" customFormat="1" ht="95.25" thickBot="1">
      <c r="A84" s="1202"/>
      <c r="B84" s="1203" t="s">
        <v>1465</v>
      </c>
      <c r="C84" s="1202" t="s">
        <v>1548</v>
      </c>
      <c r="D84" s="1214" t="s">
        <v>1457</v>
      </c>
      <c r="E84" s="1205" t="s">
        <v>1549</v>
      </c>
      <c r="F84" s="1205" t="s">
        <v>1550</v>
      </c>
      <c r="G84" s="1205" t="s">
        <v>1551</v>
      </c>
      <c r="H84" s="1205" t="s">
        <v>1552</v>
      </c>
      <c r="I84" s="1205" t="s">
        <v>1553</v>
      </c>
      <c r="J84" s="1209" t="s">
        <v>1554</v>
      </c>
      <c r="K84" s="1205" t="s">
        <v>1547</v>
      </c>
      <c r="L84" s="1204"/>
      <c r="M84" s="1206" t="s">
        <v>1469</v>
      </c>
      <c r="N84" s="1208">
        <v>15000</v>
      </c>
      <c r="O84" s="1208">
        <v>15000</v>
      </c>
      <c r="P84" s="1207">
        <v>30000</v>
      </c>
    </row>
    <row r="85" spans="1:20" ht="21">
      <c r="A85" s="1131">
        <v>5</v>
      </c>
      <c r="B85" s="1132" t="s">
        <v>1460</v>
      </c>
      <c r="C85" s="1062" t="s">
        <v>1296</v>
      </c>
      <c r="D85" s="1079" t="s">
        <v>1458</v>
      </c>
      <c r="E85" s="1071"/>
      <c r="F85" s="1071"/>
      <c r="G85" s="1071"/>
      <c r="H85" s="1071"/>
      <c r="I85" s="1071"/>
      <c r="J85" s="1071"/>
      <c r="K85" s="1071"/>
      <c r="L85" s="1071"/>
      <c r="M85" s="1091" t="s">
        <v>520</v>
      </c>
      <c r="N85" s="1064">
        <v>160500</v>
      </c>
      <c r="O85" s="1071"/>
      <c r="P85" s="1071"/>
      <c r="Q85" s="1071"/>
      <c r="R85" s="1071"/>
      <c r="S85" s="1071"/>
      <c r="T85" s="1071"/>
    </row>
    <row r="86" spans="1:20" ht="21">
      <c r="A86" s="1115"/>
      <c r="B86" s="1116" t="s">
        <v>1461</v>
      </c>
      <c r="C86" s="985" t="s">
        <v>1388</v>
      </c>
      <c r="D86" s="1018" t="s">
        <v>1458</v>
      </c>
      <c r="E86" s="1044"/>
      <c r="F86" s="1044"/>
      <c r="G86" s="1044"/>
      <c r="H86" s="1044"/>
      <c r="I86" s="1044"/>
      <c r="J86" s="1044"/>
      <c r="K86" s="1044"/>
      <c r="L86" s="1044"/>
      <c r="M86" s="1088" t="s">
        <v>520</v>
      </c>
      <c r="N86" s="996"/>
      <c r="O86" s="1044"/>
      <c r="P86" s="1044"/>
      <c r="Q86" s="1044"/>
      <c r="R86" s="1044"/>
      <c r="S86" s="1044"/>
      <c r="T86" s="1044"/>
    </row>
    <row r="87" spans="1:20" ht="21">
      <c r="A87" s="1115"/>
      <c r="B87" s="1118"/>
      <c r="C87" s="985" t="s">
        <v>1389</v>
      </c>
      <c r="D87" s="1018" t="s">
        <v>1458</v>
      </c>
      <c r="E87" s="1044"/>
      <c r="F87" s="1044"/>
      <c r="G87" s="1044"/>
      <c r="H87" s="1044"/>
      <c r="I87" s="1044"/>
      <c r="J87" s="1044"/>
      <c r="K87" s="1044"/>
      <c r="L87" s="1044"/>
      <c r="M87" s="1088" t="s">
        <v>520</v>
      </c>
      <c r="N87" s="991">
        <v>20500</v>
      </c>
      <c r="O87" s="1044"/>
      <c r="P87" s="1044"/>
      <c r="Q87" s="1044"/>
      <c r="R87" s="1044"/>
      <c r="S87" s="1044"/>
      <c r="T87" s="1044"/>
    </row>
    <row r="88" spans="1:20" ht="21">
      <c r="A88" s="1115"/>
      <c r="B88" s="1091"/>
      <c r="C88" s="985" t="s">
        <v>1390</v>
      </c>
      <c r="D88" s="1018" t="s">
        <v>1458</v>
      </c>
      <c r="E88" s="1044"/>
      <c r="F88" s="1044"/>
      <c r="G88" s="1044"/>
      <c r="H88" s="1044"/>
      <c r="I88" s="1044"/>
      <c r="J88" s="1044"/>
      <c r="K88" s="1044"/>
      <c r="L88" s="1044"/>
      <c r="M88" s="1088" t="s">
        <v>520</v>
      </c>
      <c r="N88" s="991"/>
      <c r="O88" s="1044"/>
      <c r="P88" s="1044"/>
      <c r="Q88" s="1044"/>
      <c r="R88" s="1044"/>
      <c r="S88" s="1044"/>
      <c r="T88" s="1044"/>
    </row>
    <row r="89" spans="1:20" ht="40.5" customHeight="1">
      <c r="A89" s="1135"/>
      <c r="B89" s="1088" t="s">
        <v>365</v>
      </c>
      <c r="C89" s="1074" t="s">
        <v>1298</v>
      </c>
      <c r="D89" s="1018" t="s">
        <v>1458</v>
      </c>
      <c r="E89" s="1044"/>
      <c r="F89" s="1044"/>
      <c r="G89" s="1044"/>
      <c r="H89" s="1044"/>
      <c r="I89" s="1044"/>
      <c r="J89" s="1044"/>
      <c r="K89" s="1044"/>
      <c r="L89" s="1044"/>
      <c r="M89" s="1088" t="s">
        <v>520</v>
      </c>
      <c r="N89" s="992">
        <v>10000</v>
      </c>
      <c r="O89" s="1044"/>
      <c r="P89" s="1044"/>
      <c r="Q89" s="1044"/>
      <c r="R89" s="1044"/>
      <c r="S89" s="1044"/>
      <c r="T89" s="1044"/>
    </row>
    <row r="90" spans="1:20" ht="37.5">
      <c r="A90" s="1135"/>
      <c r="B90" s="1088" t="s">
        <v>365</v>
      </c>
      <c r="C90" s="1074" t="s">
        <v>1299</v>
      </c>
      <c r="D90" s="1018" t="s">
        <v>1458</v>
      </c>
      <c r="E90" s="1044"/>
      <c r="F90" s="1044"/>
      <c r="G90" s="1044"/>
      <c r="H90" s="1044"/>
      <c r="I90" s="1044"/>
      <c r="J90" s="1044"/>
      <c r="K90" s="1044"/>
      <c r="L90" s="1044"/>
      <c r="M90" s="1088" t="s">
        <v>520</v>
      </c>
      <c r="N90" s="992">
        <v>20000</v>
      </c>
      <c r="O90" s="1044"/>
      <c r="P90" s="1044"/>
      <c r="Q90" s="1044"/>
      <c r="R90" s="1044"/>
      <c r="S90" s="1044"/>
      <c r="T90" s="1044"/>
    </row>
    <row r="91" spans="1:20" ht="37.5">
      <c r="A91" s="1135"/>
      <c r="B91" s="1088" t="s">
        <v>365</v>
      </c>
      <c r="C91" s="1074" t="s">
        <v>1300</v>
      </c>
      <c r="D91" s="1018" t="s">
        <v>1458</v>
      </c>
      <c r="E91" s="1044"/>
      <c r="F91" s="1044"/>
      <c r="G91" s="1044"/>
      <c r="H91" s="1044"/>
      <c r="I91" s="1044"/>
      <c r="J91" s="1044"/>
      <c r="K91" s="1044"/>
      <c r="L91" s="1044"/>
      <c r="M91" s="1088" t="s">
        <v>520</v>
      </c>
      <c r="N91" s="992">
        <v>20000</v>
      </c>
      <c r="O91" s="1044"/>
      <c r="P91" s="1044"/>
      <c r="Q91" s="1044"/>
      <c r="R91" s="1044"/>
      <c r="S91" s="1044"/>
      <c r="T91" s="1044"/>
    </row>
    <row r="92" spans="1:20" ht="37.5">
      <c r="A92" s="1135"/>
      <c r="B92" s="1088" t="s">
        <v>365</v>
      </c>
      <c r="C92" s="1074" t="s">
        <v>1301</v>
      </c>
      <c r="D92" s="1018" t="s">
        <v>1458</v>
      </c>
      <c r="E92" s="1044"/>
      <c r="F92" s="1044"/>
      <c r="G92" s="1044"/>
      <c r="H92" s="1044"/>
      <c r="I92" s="1044"/>
      <c r="J92" s="1044"/>
      <c r="K92" s="1044"/>
      <c r="L92" s="1044"/>
      <c r="M92" s="1088" t="s">
        <v>520</v>
      </c>
      <c r="N92" s="992">
        <v>20000</v>
      </c>
      <c r="O92" s="1044"/>
      <c r="P92" s="1044"/>
      <c r="Q92" s="1044"/>
      <c r="R92" s="1044"/>
      <c r="S92" s="1044"/>
      <c r="T92" s="1044"/>
    </row>
    <row r="93" spans="1:20" ht="37.5">
      <c r="A93" s="1144"/>
      <c r="B93" s="1091" t="s">
        <v>365</v>
      </c>
      <c r="C93" s="1142" t="s">
        <v>1302</v>
      </c>
      <c r="D93" s="1079" t="s">
        <v>1458</v>
      </c>
      <c r="E93" s="1071"/>
      <c r="F93" s="1071"/>
      <c r="G93" s="1071"/>
      <c r="H93" s="1071"/>
      <c r="I93" s="1071"/>
      <c r="J93" s="1071"/>
      <c r="K93" s="1071"/>
      <c r="L93" s="1071"/>
      <c r="M93" s="1091" t="s">
        <v>520</v>
      </c>
      <c r="N93" s="1143">
        <v>40000</v>
      </c>
      <c r="O93" s="1071"/>
      <c r="P93" s="1071"/>
      <c r="Q93" s="1071"/>
      <c r="R93" s="1071"/>
      <c r="S93" s="1071"/>
      <c r="T93" s="1071"/>
    </row>
    <row r="94" spans="1:20" ht="38.25" thickBot="1">
      <c r="A94" s="1134"/>
      <c r="B94" s="1089" t="s">
        <v>365</v>
      </c>
      <c r="C94" s="1081" t="s">
        <v>1303</v>
      </c>
      <c r="D94" s="1058" t="s">
        <v>1458</v>
      </c>
      <c r="E94" s="1056"/>
      <c r="F94" s="1056"/>
      <c r="G94" s="1056"/>
      <c r="H94" s="1056"/>
      <c r="I94" s="1056"/>
      <c r="J94" s="1056"/>
      <c r="K94" s="1056"/>
      <c r="L94" s="1056"/>
      <c r="M94" s="1089" t="s">
        <v>520</v>
      </c>
      <c r="N94" s="1080">
        <v>30000</v>
      </c>
      <c r="O94" s="1056"/>
      <c r="P94" s="1056"/>
      <c r="Q94" s="1056"/>
      <c r="R94" s="1056"/>
      <c r="S94" s="1056"/>
      <c r="T94" s="1056"/>
    </row>
    <row r="95" spans="1:20" ht="24.75" customHeight="1">
      <c r="A95" s="1131">
        <v>6</v>
      </c>
      <c r="B95" s="1132" t="s">
        <v>1462</v>
      </c>
      <c r="C95" s="1062" t="s">
        <v>219</v>
      </c>
      <c r="D95" s="1079" t="s">
        <v>1459</v>
      </c>
      <c r="E95" s="1265" t="s">
        <v>1609</v>
      </c>
      <c r="F95" s="1265" t="s">
        <v>1610</v>
      </c>
      <c r="G95" s="1265" t="s">
        <v>1611</v>
      </c>
      <c r="H95" s="1265" t="s">
        <v>1612</v>
      </c>
      <c r="I95" s="1265" t="s">
        <v>1607</v>
      </c>
      <c r="J95" s="1265" t="s">
        <v>1613</v>
      </c>
      <c r="K95" s="1265"/>
      <c r="L95" s="1265"/>
      <c r="M95" s="1091" t="s">
        <v>520</v>
      </c>
      <c r="N95" s="1064">
        <f>SUM(N96:N101)</f>
        <v>200000</v>
      </c>
      <c r="O95" s="1071"/>
      <c r="P95" s="1071"/>
      <c r="Q95" s="1071"/>
      <c r="R95" s="1071"/>
      <c r="S95" s="1071"/>
      <c r="T95" s="1071"/>
    </row>
    <row r="96" spans="1:20" ht="21">
      <c r="A96" s="1117"/>
      <c r="B96" s="1116" t="s">
        <v>1464</v>
      </c>
      <c r="C96" s="985" t="s">
        <v>1391</v>
      </c>
      <c r="D96" s="991">
        <v>0</v>
      </c>
      <c r="E96" s="1266"/>
      <c r="F96" s="1266"/>
      <c r="G96" s="1266"/>
      <c r="H96" s="1266"/>
      <c r="I96" s="1266"/>
      <c r="J96" s="1266"/>
      <c r="K96" s="1266"/>
      <c r="L96" s="1266"/>
      <c r="M96" s="1088" t="s">
        <v>520</v>
      </c>
      <c r="N96" s="991">
        <v>0</v>
      </c>
      <c r="O96" s="1044"/>
      <c r="P96" s="1044"/>
      <c r="Q96" s="1044"/>
      <c r="R96" s="1044"/>
      <c r="S96" s="1044"/>
      <c r="T96" s="1044"/>
    </row>
    <row r="97" spans="1:20" ht="21">
      <c r="A97" s="1117"/>
      <c r="B97" s="1118"/>
      <c r="C97" s="985" t="s">
        <v>1304</v>
      </c>
      <c r="D97" s="991"/>
      <c r="E97" s="1266"/>
      <c r="F97" s="1266"/>
      <c r="G97" s="1266"/>
      <c r="H97" s="1266"/>
      <c r="I97" s="1266"/>
      <c r="J97" s="1266"/>
      <c r="K97" s="1266"/>
      <c r="L97" s="1266"/>
      <c r="M97" s="1088" t="s">
        <v>520</v>
      </c>
      <c r="N97" s="991"/>
      <c r="O97" s="1044"/>
      <c r="P97" s="1044"/>
      <c r="Q97" s="1044"/>
      <c r="R97" s="1044"/>
      <c r="S97" s="1044"/>
      <c r="T97" s="1044"/>
    </row>
    <row r="98" spans="1:20" ht="42">
      <c r="A98" s="1117"/>
      <c r="B98" s="1118"/>
      <c r="C98" s="1013" t="s">
        <v>1392</v>
      </c>
      <c r="D98" s="1005">
        <v>6400</v>
      </c>
      <c r="E98" s="1266"/>
      <c r="F98" s="1266"/>
      <c r="G98" s="1266"/>
      <c r="H98" s="1266"/>
      <c r="I98" s="1266"/>
      <c r="J98" s="1266"/>
      <c r="K98" s="1266"/>
      <c r="L98" s="1266"/>
      <c r="M98" s="1088" t="s">
        <v>520</v>
      </c>
      <c r="N98" s="1005">
        <v>6400</v>
      </c>
      <c r="O98" s="1044"/>
      <c r="P98" s="1044"/>
      <c r="Q98" s="1044"/>
      <c r="R98" s="1044"/>
      <c r="S98" s="1044"/>
      <c r="T98" s="1044"/>
    </row>
    <row r="99" spans="1:20" ht="21">
      <c r="A99" s="1117"/>
      <c r="B99" s="1118"/>
      <c r="C99" s="1002" t="s">
        <v>1393</v>
      </c>
      <c r="D99" s="991">
        <v>7600</v>
      </c>
      <c r="E99" s="1266"/>
      <c r="F99" s="1266"/>
      <c r="G99" s="1266"/>
      <c r="H99" s="1266"/>
      <c r="I99" s="1266"/>
      <c r="J99" s="1266"/>
      <c r="K99" s="1266"/>
      <c r="L99" s="1266"/>
      <c r="M99" s="1088" t="s">
        <v>520</v>
      </c>
      <c r="N99" s="991">
        <v>7600</v>
      </c>
      <c r="O99" s="1044"/>
      <c r="P99" s="1044"/>
      <c r="Q99" s="1044"/>
      <c r="R99" s="1044"/>
      <c r="S99" s="1044"/>
      <c r="T99" s="1044"/>
    </row>
    <row r="100" spans="1:20" ht="21">
      <c r="A100" s="1117"/>
      <c r="B100" s="1118"/>
      <c r="C100" s="1006" t="s">
        <v>1394</v>
      </c>
      <c r="D100" s="1005"/>
      <c r="E100" s="1266"/>
      <c r="F100" s="1266"/>
      <c r="G100" s="1266"/>
      <c r="H100" s="1266"/>
      <c r="I100" s="1266"/>
      <c r="J100" s="1266"/>
      <c r="K100" s="1266"/>
      <c r="L100" s="1266"/>
      <c r="M100" s="1088" t="s">
        <v>520</v>
      </c>
      <c r="N100" s="1005"/>
      <c r="O100" s="1044"/>
      <c r="P100" s="1044"/>
      <c r="Q100" s="1044"/>
      <c r="R100" s="1044"/>
      <c r="S100" s="1044"/>
      <c r="T100" s="1044"/>
    </row>
    <row r="101" spans="1:20" ht="21.75" thickBot="1">
      <c r="A101" s="1133"/>
      <c r="B101" s="1125"/>
      <c r="C101" s="1082" t="s">
        <v>1395</v>
      </c>
      <c r="D101" s="1083">
        <v>186000</v>
      </c>
      <c r="E101" s="1267"/>
      <c r="F101" s="1267"/>
      <c r="G101" s="1267"/>
      <c r="H101" s="1267"/>
      <c r="I101" s="1267"/>
      <c r="J101" s="1267"/>
      <c r="K101" s="1267"/>
      <c r="L101" s="1267"/>
      <c r="M101" s="1089" t="s">
        <v>520</v>
      </c>
      <c r="N101" s="1083">
        <v>186000</v>
      </c>
      <c r="O101" s="1056"/>
      <c r="P101" s="1056"/>
      <c r="Q101" s="1056"/>
      <c r="R101" s="1056"/>
      <c r="S101" s="1056"/>
      <c r="T101" s="1056"/>
    </row>
    <row r="102" spans="1:20" ht="60" customHeight="1">
      <c r="A102" s="1131">
        <v>7</v>
      </c>
      <c r="B102" s="1132" t="s">
        <v>1463</v>
      </c>
      <c r="C102" s="1062" t="s">
        <v>229</v>
      </c>
      <c r="D102" s="1018" t="s">
        <v>1470</v>
      </c>
      <c r="E102" s="1265" t="s">
        <v>1614</v>
      </c>
      <c r="F102" s="1265" t="s">
        <v>1615</v>
      </c>
      <c r="G102" s="1265" t="s">
        <v>1611</v>
      </c>
      <c r="H102" s="1265" t="s">
        <v>1612</v>
      </c>
      <c r="I102" s="1265" t="s">
        <v>1607</v>
      </c>
      <c r="J102" s="1265" t="s">
        <v>1613</v>
      </c>
      <c r="K102" s="1265"/>
      <c r="L102" s="1265"/>
      <c r="M102" s="1091" t="s">
        <v>520</v>
      </c>
      <c r="N102" s="1064">
        <f>SUM(N103:N129)</f>
        <v>1400000</v>
      </c>
      <c r="O102" s="1071"/>
      <c r="P102" s="1071"/>
      <c r="Q102" s="1071"/>
      <c r="R102" s="1071"/>
      <c r="S102" s="1071"/>
      <c r="T102" s="1071"/>
    </row>
    <row r="103" spans="1:20" ht="21">
      <c r="A103" s="1117"/>
      <c r="B103" s="1118"/>
      <c r="C103" s="1006" t="s">
        <v>1396</v>
      </c>
      <c r="D103" s="1005">
        <v>113300</v>
      </c>
      <c r="E103" s="1266"/>
      <c r="F103" s="1266"/>
      <c r="G103" s="1266"/>
      <c r="H103" s="1266"/>
      <c r="I103" s="1266"/>
      <c r="J103" s="1266"/>
      <c r="K103" s="1266"/>
      <c r="L103" s="1266"/>
      <c r="M103" s="1088" t="s">
        <v>520</v>
      </c>
      <c r="N103" s="1005">
        <v>113300</v>
      </c>
      <c r="O103" s="1044"/>
      <c r="P103" s="1044"/>
      <c r="Q103" s="1044"/>
      <c r="R103" s="1044"/>
      <c r="S103" s="1044"/>
      <c r="T103" s="1044"/>
    </row>
    <row r="104" spans="1:20" ht="21">
      <c r="A104" s="1117"/>
      <c r="B104" s="1118"/>
      <c r="C104" s="985" t="s">
        <v>1397</v>
      </c>
      <c r="D104" s="991"/>
      <c r="E104" s="1266"/>
      <c r="F104" s="1266"/>
      <c r="G104" s="1266"/>
      <c r="H104" s="1266"/>
      <c r="I104" s="1266"/>
      <c r="J104" s="1266"/>
      <c r="K104" s="1266"/>
      <c r="L104" s="1266"/>
      <c r="M104" s="1088" t="s">
        <v>520</v>
      </c>
      <c r="N104" s="991"/>
      <c r="O104" s="1044"/>
      <c r="P104" s="1044"/>
      <c r="Q104" s="1044"/>
      <c r="R104" s="1044"/>
      <c r="S104" s="1044"/>
      <c r="T104" s="1044"/>
    </row>
    <row r="105" spans="1:20" ht="21">
      <c r="A105" s="1117"/>
      <c r="B105" s="1118"/>
      <c r="C105" s="1009" t="s">
        <v>1398</v>
      </c>
      <c r="D105" s="991"/>
      <c r="E105" s="1266"/>
      <c r="F105" s="1266"/>
      <c r="G105" s="1266"/>
      <c r="H105" s="1266"/>
      <c r="I105" s="1266"/>
      <c r="J105" s="1266"/>
      <c r="K105" s="1266"/>
      <c r="L105" s="1266"/>
      <c r="M105" s="1088" t="s">
        <v>520</v>
      </c>
      <c r="N105" s="991"/>
      <c r="O105" s="1044"/>
      <c r="P105" s="1044"/>
      <c r="Q105" s="1044"/>
      <c r="R105" s="1044"/>
      <c r="S105" s="1044"/>
      <c r="T105" s="1044"/>
    </row>
    <row r="106" spans="1:20" ht="42">
      <c r="A106" s="1117"/>
      <c r="B106" s="1118"/>
      <c r="C106" s="1011" t="s">
        <v>1683</v>
      </c>
      <c r="D106" s="991">
        <v>10000</v>
      </c>
      <c r="E106" s="1266"/>
      <c r="F106" s="1266"/>
      <c r="G106" s="1266"/>
      <c r="H106" s="1266"/>
      <c r="I106" s="1266"/>
      <c r="J106" s="1266"/>
      <c r="K106" s="1266"/>
      <c r="L106" s="1266"/>
      <c r="M106" s="1088" t="s">
        <v>520</v>
      </c>
      <c r="N106" s="991">
        <v>10000</v>
      </c>
      <c r="O106" s="1044"/>
      <c r="P106" s="1044"/>
      <c r="Q106" s="1044"/>
      <c r="R106" s="1044"/>
      <c r="S106" s="1044"/>
      <c r="T106" s="1044"/>
    </row>
    <row r="107" spans="1:20" ht="63">
      <c r="A107" s="1117"/>
      <c r="B107" s="1118"/>
      <c r="C107" s="1011" t="s">
        <v>1684</v>
      </c>
      <c r="D107" s="991">
        <v>50000</v>
      </c>
      <c r="E107" s="1266"/>
      <c r="F107" s="1266"/>
      <c r="G107" s="1266"/>
      <c r="H107" s="1266"/>
      <c r="I107" s="1266"/>
      <c r="J107" s="1266"/>
      <c r="K107" s="1266"/>
      <c r="L107" s="1266"/>
      <c r="M107" s="1088" t="s">
        <v>520</v>
      </c>
      <c r="N107" s="991">
        <v>50000</v>
      </c>
      <c r="O107" s="1044"/>
      <c r="P107" s="1044"/>
      <c r="Q107" s="1044"/>
      <c r="R107" s="1044"/>
      <c r="S107" s="1044"/>
      <c r="T107" s="1044"/>
    </row>
    <row r="108" spans="1:20" ht="21">
      <c r="A108" s="1117"/>
      <c r="B108" s="1118"/>
      <c r="C108" s="1009" t="s">
        <v>1399</v>
      </c>
      <c r="D108" s="991"/>
      <c r="E108" s="1266"/>
      <c r="F108" s="1266"/>
      <c r="G108" s="1266"/>
      <c r="H108" s="1266"/>
      <c r="I108" s="1266"/>
      <c r="J108" s="1266"/>
      <c r="K108" s="1266"/>
      <c r="L108" s="1266"/>
      <c r="M108" s="1088" t="s">
        <v>520</v>
      </c>
      <c r="N108" s="991"/>
      <c r="O108" s="1044"/>
      <c r="P108" s="1044"/>
      <c r="Q108" s="1044"/>
      <c r="R108" s="1044"/>
      <c r="S108" s="1044"/>
      <c r="T108" s="1044"/>
    </row>
    <row r="109" spans="1:20" ht="21">
      <c r="A109" s="1117"/>
      <c r="B109" s="1118"/>
      <c r="C109" s="1011" t="s">
        <v>1306</v>
      </c>
      <c r="D109" s="991">
        <v>120000</v>
      </c>
      <c r="E109" s="1266"/>
      <c r="F109" s="1266"/>
      <c r="G109" s="1266"/>
      <c r="H109" s="1266"/>
      <c r="I109" s="1266"/>
      <c r="J109" s="1266"/>
      <c r="K109" s="1266"/>
      <c r="L109" s="1266"/>
      <c r="M109" s="1088" t="s">
        <v>520</v>
      </c>
      <c r="N109" s="991">
        <v>120000</v>
      </c>
      <c r="O109" s="1044"/>
      <c r="P109" s="1044"/>
      <c r="Q109" s="1044"/>
      <c r="R109" s="1044"/>
      <c r="S109" s="1044"/>
      <c r="T109" s="1044"/>
    </row>
    <row r="110" spans="1:20" ht="21">
      <c r="A110" s="1117"/>
      <c r="B110" s="1118"/>
      <c r="C110" s="1011" t="s">
        <v>1307</v>
      </c>
      <c r="D110" s="991">
        <v>150000</v>
      </c>
      <c r="E110" s="1266"/>
      <c r="F110" s="1266"/>
      <c r="G110" s="1266"/>
      <c r="H110" s="1266"/>
      <c r="I110" s="1266"/>
      <c r="J110" s="1266"/>
      <c r="K110" s="1266"/>
      <c r="L110" s="1266"/>
      <c r="M110" s="1088" t="s">
        <v>520</v>
      </c>
      <c r="N110" s="991">
        <v>150000</v>
      </c>
      <c r="O110" s="1044"/>
      <c r="P110" s="1044"/>
      <c r="Q110" s="1044"/>
      <c r="R110" s="1044"/>
      <c r="S110" s="1044"/>
      <c r="T110" s="1044"/>
    </row>
    <row r="111" spans="1:20" ht="21">
      <c r="A111" s="1117"/>
      <c r="B111" s="1118"/>
      <c r="C111" s="1011" t="s">
        <v>231</v>
      </c>
      <c r="D111" s="991">
        <v>100000</v>
      </c>
      <c r="E111" s="1266"/>
      <c r="F111" s="1266"/>
      <c r="G111" s="1266"/>
      <c r="H111" s="1266"/>
      <c r="I111" s="1266"/>
      <c r="J111" s="1266"/>
      <c r="K111" s="1266"/>
      <c r="L111" s="1266"/>
      <c r="M111" s="1088" t="s">
        <v>520</v>
      </c>
      <c r="N111" s="991">
        <v>100000</v>
      </c>
      <c r="O111" s="1044"/>
      <c r="P111" s="1044"/>
      <c r="Q111" s="1044"/>
      <c r="R111" s="1044"/>
      <c r="S111" s="1044"/>
      <c r="T111" s="1044"/>
    </row>
    <row r="112" spans="1:20" ht="21">
      <c r="A112" s="1117"/>
      <c r="B112" s="1118"/>
      <c r="C112" s="1011" t="s">
        <v>232</v>
      </c>
      <c r="D112" s="991">
        <v>120000</v>
      </c>
      <c r="E112" s="1173"/>
      <c r="F112" s="1173"/>
      <c r="G112" s="1173"/>
      <c r="H112" s="1173"/>
      <c r="I112" s="1173"/>
      <c r="J112" s="1173"/>
      <c r="K112" s="1173"/>
      <c r="L112" s="1173"/>
      <c r="M112" s="1088" t="s">
        <v>520</v>
      </c>
      <c r="N112" s="991">
        <v>120000</v>
      </c>
      <c r="O112" s="1044"/>
      <c r="P112" s="1044"/>
      <c r="Q112" s="1044"/>
      <c r="R112" s="1044"/>
      <c r="S112" s="1044"/>
      <c r="T112" s="1044"/>
    </row>
    <row r="113" spans="1:20" ht="23.25" customHeight="1">
      <c r="A113" s="1117"/>
      <c r="B113" s="1118"/>
      <c r="C113" s="1014" t="s">
        <v>1400</v>
      </c>
      <c r="D113" s="1005">
        <v>4744</v>
      </c>
      <c r="E113" s="1173"/>
      <c r="F113" s="1173"/>
      <c r="G113" s="1173"/>
      <c r="H113" s="1173"/>
      <c r="I113" s="1173"/>
      <c r="J113" s="1173"/>
      <c r="K113" s="1173"/>
      <c r="L113" s="1173"/>
      <c r="M113" s="1088" t="s">
        <v>520</v>
      </c>
      <c r="N113" s="1005">
        <v>4744</v>
      </c>
      <c r="O113" s="1044"/>
      <c r="P113" s="1044"/>
      <c r="Q113" s="1044"/>
      <c r="R113" s="1044"/>
      <c r="S113" s="1044"/>
      <c r="T113" s="1044"/>
    </row>
    <row r="114" spans="1:20" ht="21">
      <c r="A114" s="1117"/>
      <c r="B114" s="1118"/>
      <c r="C114" s="1011" t="s">
        <v>225</v>
      </c>
      <c r="D114" s="991">
        <v>80000</v>
      </c>
      <c r="E114" s="1173"/>
      <c r="F114" s="1173"/>
      <c r="G114" s="1173"/>
      <c r="H114" s="1173"/>
      <c r="I114" s="1173"/>
      <c r="J114" s="1173"/>
      <c r="K114" s="1173"/>
      <c r="L114" s="1173"/>
      <c r="M114" s="1088" t="s">
        <v>520</v>
      </c>
      <c r="N114" s="991">
        <v>80000</v>
      </c>
      <c r="O114" s="1044"/>
      <c r="P114" s="1044"/>
      <c r="Q114" s="1044"/>
      <c r="R114" s="1044"/>
      <c r="S114" s="1044"/>
      <c r="T114" s="1044"/>
    </row>
    <row r="115" spans="1:20" ht="21">
      <c r="A115" s="1117"/>
      <c r="B115" s="1118"/>
      <c r="C115" s="1009" t="s">
        <v>1401</v>
      </c>
      <c r="D115" s="991"/>
      <c r="E115" s="1173"/>
      <c r="F115" s="1173"/>
      <c r="G115" s="1173"/>
      <c r="H115" s="1173"/>
      <c r="I115" s="1173"/>
      <c r="J115" s="1173"/>
      <c r="K115" s="1173"/>
      <c r="L115" s="1173"/>
      <c r="M115" s="1088" t="s">
        <v>520</v>
      </c>
      <c r="N115" s="991"/>
      <c r="O115" s="1044"/>
      <c r="P115" s="1044"/>
      <c r="Q115" s="1044"/>
      <c r="R115" s="1044"/>
      <c r="S115" s="1044"/>
      <c r="T115" s="1044"/>
    </row>
    <row r="116" spans="1:20" ht="21">
      <c r="A116" s="1003"/>
      <c r="B116" s="1091"/>
      <c r="C116" s="1011" t="s">
        <v>76</v>
      </c>
      <c r="D116" s="991">
        <v>100000</v>
      </c>
      <c r="E116" s="1173"/>
      <c r="F116" s="1173"/>
      <c r="G116" s="1173"/>
      <c r="H116" s="1173"/>
      <c r="I116" s="1173"/>
      <c r="J116" s="1173"/>
      <c r="K116" s="1173"/>
      <c r="L116" s="1173"/>
      <c r="M116" s="1088" t="s">
        <v>520</v>
      </c>
      <c r="N116" s="991">
        <v>100000</v>
      </c>
      <c r="O116" s="1044"/>
      <c r="P116" s="1044"/>
      <c r="Q116" s="1044"/>
      <c r="R116" s="1044"/>
      <c r="S116" s="1044"/>
      <c r="T116" s="1044"/>
    </row>
    <row r="117" spans="1:20" ht="21">
      <c r="A117" s="1117"/>
      <c r="B117" s="1118"/>
      <c r="C117" s="1011" t="s">
        <v>226</v>
      </c>
      <c r="D117" s="991">
        <v>50000</v>
      </c>
      <c r="E117" s="1173"/>
      <c r="F117" s="1173"/>
      <c r="G117" s="1173"/>
      <c r="H117" s="1173"/>
      <c r="I117" s="1173"/>
      <c r="J117" s="1173"/>
      <c r="K117" s="1173"/>
      <c r="L117" s="1173"/>
      <c r="M117" s="1088" t="s">
        <v>520</v>
      </c>
      <c r="N117" s="991">
        <v>50000</v>
      </c>
      <c r="O117" s="1044"/>
      <c r="P117" s="1044"/>
      <c r="Q117" s="1044"/>
      <c r="R117" s="1044"/>
      <c r="S117" s="1044"/>
      <c r="T117" s="1044"/>
    </row>
    <row r="118" spans="1:20" ht="21">
      <c r="A118" s="1117"/>
      <c r="B118" s="1118"/>
      <c r="C118" s="1011" t="s">
        <v>72</v>
      </c>
      <c r="D118" s="991">
        <v>30000</v>
      </c>
      <c r="E118" s="1173"/>
      <c r="F118" s="1173"/>
      <c r="G118" s="1173"/>
      <c r="H118" s="1173"/>
      <c r="I118" s="1173"/>
      <c r="J118" s="1173"/>
      <c r="K118" s="1173"/>
      <c r="L118" s="1173"/>
      <c r="M118" s="1088" t="s">
        <v>520</v>
      </c>
      <c r="N118" s="991">
        <v>30000</v>
      </c>
      <c r="O118" s="1044"/>
      <c r="P118" s="1044"/>
      <c r="Q118" s="1044"/>
      <c r="R118" s="1044"/>
      <c r="S118" s="1044"/>
      <c r="T118" s="1044"/>
    </row>
    <row r="119" spans="1:20" ht="21">
      <c r="A119" s="1117"/>
      <c r="B119" s="1118"/>
      <c r="C119" s="1011" t="s">
        <v>64</v>
      </c>
      <c r="D119" s="991">
        <v>20000</v>
      </c>
      <c r="E119" s="1173"/>
      <c r="F119" s="1173"/>
      <c r="G119" s="1173"/>
      <c r="H119" s="1173"/>
      <c r="I119" s="1173"/>
      <c r="J119" s="1173"/>
      <c r="K119" s="1173"/>
      <c r="L119" s="1173"/>
      <c r="M119" s="1088" t="s">
        <v>520</v>
      </c>
      <c r="N119" s="991">
        <v>20000</v>
      </c>
      <c r="O119" s="1044"/>
      <c r="P119" s="1044"/>
      <c r="Q119" s="1044"/>
      <c r="R119" s="1044"/>
      <c r="S119" s="1044"/>
      <c r="T119" s="1044"/>
    </row>
    <row r="120" spans="1:20" ht="21">
      <c r="A120" s="1117"/>
      <c r="B120" s="1118"/>
      <c r="C120" s="1011" t="s">
        <v>227</v>
      </c>
      <c r="D120" s="991">
        <v>20000</v>
      </c>
      <c r="E120" s="1173"/>
      <c r="F120" s="1173"/>
      <c r="G120" s="1173"/>
      <c r="H120" s="1173"/>
      <c r="I120" s="1173"/>
      <c r="J120" s="1173"/>
      <c r="K120" s="1173"/>
      <c r="L120" s="1173"/>
      <c r="M120" s="1088" t="s">
        <v>520</v>
      </c>
      <c r="N120" s="991">
        <v>20000</v>
      </c>
      <c r="O120" s="1044"/>
      <c r="P120" s="1044"/>
      <c r="Q120" s="1044"/>
      <c r="R120" s="1044"/>
      <c r="S120" s="1044"/>
      <c r="T120" s="1044"/>
    </row>
    <row r="121" spans="1:20" ht="21">
      <c r="A121" s="1117"/>
      <c r="B121" s="1118"/>
      <c r="C121" s="1011" t="s">
        <v>233</v>
      </c>
      <c r="D121" s="991">
        <v>5000</v>
      </c>
      <c r="E121" s="1173"/>
      <c r="F121" s="1173"/>
      <c r="G121" s="1173"/>
      <c r="H121" s="1173"/>
      <c r="I121" s="1173"/>
      <c r="J121" s="1173"/>
      <c r="K121" s="1173"/>
      <c r="L121" s="1173"/>
      <c r="M121" s="1088" t="s">
        <v>520</v>
      </c>
      <c r="N121" s="991">
        <v>5000</v>
      </c>
      <c r="O121" s="1044"/>
      <c r="P121" s="1044"/>
      <c r="Q121" s="1044"/>
      <c r="R121" s="1044"/>
      <c r="S121" s="1044"/>
      <c r="T121" s="1044"/>
    </row>
    <row r="122" spans="1:20" ht="21">
      <c r="A122" s="1117"/>
      <c r="B122" s="1118"/>
      <c r="C122" s="1011" t="s">
        <v>1308</v>
      </c>
      <c r="D122" s="991">
        <v>50000</v>
      </c>
      <c r="E122" s="1173"/>
      <c r="F122" s="1173"/>
      <c r="G122" s="1173"/>
      <c r="H122" s="1173"/>
      <c r="I122" s="1173"/>
      <c r="J122" s="1173"/>
      <c r="K122" s="1173"/>
      <c r="L122" s="1173"/>
      <c r="M122" s="1088" t="s">
        <v>520</v>
      </c>
      <c r="N122" s="991">
        <v>50000</v>
      </c>
      <c r="O122" s="1044"/>
      <c r="P122" s="1044"/>
      <c r="Q122" s="1044"/>
      <c r="R122" s="1044"/>
      <c r="S122" s="1044"/>
      <c r="T122" s="1044"/>
    </row>
    <row r="123" spans="1:20" ht="21">
      <c r="A123" s="1117"/>
      <c r="B123" s="1118"/>
      <c r="C123" s="1011" t="s">
        <v>234</v>
      </c>
      <c r="D123" s="991">
        <v>10000</v>
      </c>
      <c r="E123" s="1173"/>
      <c r="F123" s="1173"/>
      <c r="G123" s="1173"/>
      <c r="H123" s="1173"/>
      <c r="I123" s="1173"/>
      <c r="J123" s="1173"/>
      <c r="K123" s="1173"/>
      <c r="L123" s="1173"/>
      <c r="M123" s="1088" t="s">
        <v>520</v>
      </c>
      <c r="N123" s="991">
        <v>10000</v>
      </c>
      <c r="O123" s="1044"/>
      <c r="P123" s="1044"/>
      <c r="Q123" s="1044"/>
      <c r="R123" s="1044"/>
      <c r="S123" s="1044"/>
      <c r="T123" s="1044"/>
    </row>
    <row r="124" spans="1:20" ht="21">
      <c r="A124" s="1117"/>
      <c r="B124" s="1118"/>
      <c r="C124" s="1136" t="s">
        <v>78</v>
      </c>
      <c r="D124" s="991">
        <v>20000</v>
      </c>
      <c r="E124" s="1173"/>
      <c r="F124" s="1173"/>
      <c r="G124" s="1173"/>
      <c r="H124" s="1173"/>
      <c r="I124" s="1173"/>
      <c r="J124" s="1173"/>
      <c r="K124" s="1173"/>
      <c r="L124" s="1173"/>
      <c r="M124" s="1088" t="s">
        <v>520</v>
      </c>
      <c r="N124" s="991">
        <v>20000</v>
      </c>
      <c r="O124" s="1044"/>
      <c r="P124" s="1044"/>
      <c r="Q124" s="1044"/>
      <c r="R124" s="1044"/>
      <c r="S124" s="1044"/>
      <c r="T124" s="1044"/>
    </row>
    <row r="125" spans="1:20" ht="21">
      <c r="A125" s="1117"/>
      <c r="B125" s="1118"/>
      <c r="C125" s="1009" t="s">
        <v>1402</v>
      </c>
      <c r="D125" s="991">
        <v>200000</v>
      </c>
      <c r="E125" s="1173"/>
      <c r="F125" s="1173"/>
      <c r="G125" s="1173"/>
      <c r="H125" s="1173"/>
      <c r="I125" s="1173"/>
      <c r="J125" s="1173"/>
      <c r="K125" s="1173"/>
      <c r="L125" s="1173"/>
      <c r="M125" s="1088" t="s">
        <v>520</v>
      </c>
      <c r="N125" s="991">
        <v>200000</v>
      </c>
      <c r="O125" s="1044"/>
      <c r="P125" s="1044"/>
      <c r="Q125" s="1044"/>
      <c r="R125" s="1044"/>
      <c r="S125" s="1044"/>
      <c r="T125" s="1044"/>
    </row>
    <row r="126" spans="1:20" ht="21">
      <c r="A126" s="1117"/>
      <c r="B126" s="1118"/>
      <c r="C126" s="1009" t="s">
        <v>1403</v>
      </c>
      <c r="D126" s="991">
        <v>10000</v>
      </c>
      <c r="E126" s="1173"/>
      <c r="F126" s="1173"/>
      <c r="G126" s="1173"/>
      <c r="H126" s="1173"/>
      <c r="I126" s="1173"/>
      <c r="J126" s="1173"/>
      <c r="K126" s="1173"/>
      <c r="L126" s="1173"/>
      <c r="M126" s="1088" t="s">
        <v>520</v>
      </c>
      <c r="N126" s="991">
        <v>10000</v>
      </c>
      <c r="O126" s="1044"/>
      <c r="P126" s="1044"/>
      <c r="Q126" s="1044"/>
      <c r="R126" s="1044"/>
      <c r="S126" s="1044"/>
      <c r="T126" s="1044"/>
    </row>
    <row r="127" spans="1:20" ht="21">
      <c r="A127" s="1117"/>
      <c r="B127" s="1118"/>
      <c r="C127" s="1009" t="s">
        <v>1404</v>
      </c>
      <c r="D127" s="991">
        <v>100000</v>
      </c>
      <c r="E127" s="1173"/>
      <c r="F127" s="1173"/>
      <c r="G127" s="1173"/>
      <c r="H127" s="1173"/>
      <c r="I127" s="1173"/>
      <c r="J127" s="1173"/>
      <c r="K127" s="1173"/>
      <c r="L127" s="1173"/>
      <c r="M127" s="1088" t="s">
        <v>520</v>
      </c>
      <c r="N127" s="991">
        <v>100000</v>
      </c>
      <c r="O127" s="1044"/>
      <c r="P127" s="1044"/>
      <c r="Q127" s="1044"/>
      <c r="R127" s="1044"/>
      <c r="S127" s="1044"/>
      <c r="T127" s="1044"/>
    </row>
    <row r="128" spans="1:20" ht="37.5">
      <c r="A128" s="1135"/>
      <c r="B128" s="1118"/>
      <c r="C128" s="1074" t="s">
        <v>1309</v>
      </c>
      <c r="D128" s="992"/>
      <c r="E128" s="1173"/>
      <c r="F128" s="1173"/>
      <c r="G128" s="1173"/>
      <c r="H128" s="1173"/>
      <c r="I128" s="1173"/>
      <c r="J128" s="1173"/>
      <c r="K128" s="1173"/>
      <c r="L128" s="1173"/>
      <c r="M128" s="1088" t="s">
        <v>520</v>
      </c>
      <c r="N128" s="992"/>
      <c r="O128" s="1044"/>
      <c r="P128" s="1044"/>
      <c r="Q128" s="1044"/>
      <c r="R128" s="1044"/>
      <c r="S128" s="1044"/>
      <c r="T128" s="1044"/>
    </row>
    <row r="129" spans="1:20" ht="21.75" thickBot="1">
      <c r="A129" s="1133"/>
      <c r="B129" s="1125"/>
      <c r="C129" s="1076" t="s">
        <v>1405</v>
      </c>
      <c r="D129" s="1078">
        <v>36956</v>
      </c>
      <c r="E129" s="1174"/>
      <c r="F129" s="1174"/>
      <c r="G129" s="1174"/>
      <c r="H129" s="1174"/>
      <c r="I129" s="1174"/>
      <c r="J129" s="1174"/>
      <c r="K129" s="1174"/>
      <c r="L129" s="1174"/>
      <c r="M129" s="1089" t="s">
        <v>520</v>
      </c>
      <c r="N129" s="1078">
        <v>36956</v>
      </c>
      <c r="O129" s="1056"/>
      <c r="P129" s="1056"/>
      <c r="Q129" s="1056"/>
      <c r="R129" s="1056"/>
      <c r="S129" s="1056"/>
      <c r="T129" s="1056"/>
    </row>
    <row r="130" spans="1:20" ht="42">
      <c r="A130" s="1131">
        <v>8</v>
      </c>
      <c r="B130" s="1085" t="s">
        <v>577</v>
      </c>
      <c r="C130" s="1062" t="s">
        <v>1310</v>
      </c>
      <c r="D130" s="1018" t="s">
        <v>1471</v>
      </c>
      <c r="E130" s="1071"/>
      <c r="F130" s="1071"/>
      <c r="G130" s="1071"/>
      <c r="H130" s="1071"/>
      <c r="I130" s="1071"/>
      <c r="J130" s="1071"/>
      <c r="K130" s="1071"/>
      <c r="L130" s="1071"/>
      <c r="M130" s="1091" t="s">
        <v>520</v>
      </c>
      <c r="N130" s="1064">
        <f>N131+N146+N177</f>
        <v>4691000</v>
      </c>
      <c r="O130" s="1071"/>
      <c r="P130" s="1071"/>
      <c r="Q130" s="1071"/>
      <c r="R130" s="1071"/>
      <c r="S130" s="1071"/>
      <c r="T130" s="1071"/>
    </row>
    <row r="131" spans="1:20" ht="54" customHeight="1">
      <c r="A131" s="1115"/>
      <c r="B131" s="1090" t="s">
        <v>577</v>
      </c>
      <c r="C131" s="987" t="s">
        <v>1406</v>
      </c>
      <c r="D131" s="996">
        <f>SUM(D132:D145)</f>
        <v>2080300</v>
      </c>
      <c r="E131" s="1397" t="s">
        <v>695</v>
      </c>
      <c r="F131" s="1397" t="s">
        <v>700</v>
      </c>
      <c r="G131" s="1397" t="s">
        <v>696</v>
      </c>
      <c r="H131" s="1397" t="s">
        <v>697</v>
      </c>
      <c r="I131" s="1397" t="s">
        <v>612</v>
      </c>
      <c r="J131" s="1397" t="s">
        <v>699</v>
      </c>
      <c r="K131" s="1060"/>
      <c r="L131" s="1060"/>
      <c r="M131" s="1088" t="s">
        <v>520</v>
      </c>
      <c r="N131" s="996">
        <f>SUM(N132:N145)</f>
        <v>2080300</v>
      </c>
      <c r="O131" s="1044"/>
      <c r="P131" s="1044"/>
      <c r="Q131" s="1044"/>
      <c r="R131" s="1044"/>
      <c r="S131" s="1044"/>
      <c r="T131" s="1044"/>
    </row>
    <row r="132" spans="1:20" ht="21">
      <c r="A132" s="1117"/>
      <c r="B132" s="1118"/>
      <c r="C132" s="1010" t="s">
        <v>1407</v>
      </c>
      <c r="D132" s="1005">
        <v>0</v>
      </c>
      <c r="E132" s="1398"/>
      <c r="F132" s="1398"/>
      <c r="G132" s="1398"/>
      <c r="H132" s="1398"/>
      <c r="I132" s="1398"/>
      <c r="J132" s="1398"/>
      <c r="K132" s="1173"/>
      <c r="L132" s="1173"/>
      <c r="M132" s="1088" t="s">
        <v>520</v>
      </c>
      <c r="N132" s="1005">
        <v>0</v>
      </c>
      <c r="O132" s="1044"/>
      <c r="P132" s="1044"/>
      <c r="Q132" s="1044"/>
      <c r="R132" s="1044"/>
      <c r="S132" s="1044"/>
      <c r="T132" s="1044"/>
    </row>
    <row r="133" spans="1:20" ht="21">
      <c r="A133" s="1117"/>
      <c r="B133" s="1118"/>
      <c r="C133" s="1010" t="s">
        <v>1408</v>
      </c>
      <c r="D133" s="1005">
        <v>443280</v>
      </c>
      <c r="E133" s="1398"/>
      <c r="F133" s="1398"/>
      <c r="G133" s="1398"/>
      <c r="H133" s="1173"/>
      <c r="I133" s="1173"/>
      <c r="J133" s="1173"/>
      <c r="K133" s="1173"/>
      <c r="L133" s="1173"/>
      <c r="M133" s="1088" t="s">
        <v>520</v>
      </c>
      <c r="N133" s="1005">
        <v>443280</v>
      </c>
      <c r="O133" s="1044"/>
      <c r="P133" s="1044"/>
      <c r="Q133" s="1044"/>
      <c r="R133" s="1044"/>
      <c r="S133" s="1044"/>
      <c r="T133" s="1044"/>
    </row>
    <row r="134" spans="1:20" ht="21">
      <c r="A134" s="1117"/>
      <c r="B134" s="1118"/>
      <c r="C134" s="1009" t="s">
        <v>1409</v>
      </c>
      <c r="D134" s="991" t="s">
        <v>34</v>
      </c>
      <c r="E134" s="1173"/>
      <c r="F134" s="1173"/>
      <c r="G134" s="1173"/>
      <c r="H134" s="1173"/>
      <c r="I134" s="1173"/>
      <c r="J134" s="1173"/>
      <c r="K134" s="1173"/>
      <c r="L134" s="1173"/>
      <c r="M134" s="1088" t="s">
        <v>520</v>
      </c>
      <c r="N134" s="991" t="s">
        <v>34</v>
      </c>
      <c r="O134" s="1044"/>
      <c r="P134" s="1044"/>
      <c r="Q134" s="1044"/>
      <c r="R134" s="1044"/>
      <c r="S134" s="1044"/>
      <c r="T134" s="1044"/>
    </row>
    <row r="135" spans="1:20" ht="21">
      <c r="A135" s="1117"/>
      <c r="B135" s="1118"/>
      <c r="C135" s="1011" t="s">
        <v>1277</v>
      </c>
      <c r="D135" s="991">
        <v>30000</v>
      </c>
      <c r="E135" s="1173"/>
      <c r="F135" s="1173"/>
      <c r="G135" s="1173"/>
      <c r="H135" s="1173"/>
      <c r="I135" s="1173"/>
      <c r="J135" s="1173"/>
      <c r="K135" s="1173"/>
      <c r="L135" s="1173"/>
      <c r="M135" s="1088" t="s">
        <v>520</v>
      </c>
      <c r="N135" s="991">
        <v>30000</v>
      </c>
      <c r="O135" s="1044"/>
      <c r="P135" s="1044"/>
      <c r="Q135" s="1044"/>
      <c r="R135" s="1044"/>
      <c r="S135" s="1044"/>
      <c r="T135" s="1044"/>
    </row>
    <row r="136" spans="1:20" ht="21">
      <c r="A136" s="1117"/>
      <c r="B136" s="1118"/>
      <c r="C136" s="1011" t="s">
        <v>1311</v>
      </c>
      <c r="D136" s="991">
        <v>20000</v>
      </c>
      <c r="E136" s="1173"/>
      <c r="F136" s="1173"/>
      <c r="G136" s="1173"/>
      <c r="H136" s="1173"/>
      <c r="I136" s="1173"/>
      <c r="J136" s="1173"/>
      <c r="K136" s="1173"/>
      <c r="L136" s="1173"/>
      <c r="M136" s="1088" t="s">
        <v>520</v>
      </c>
      <c r="N136" s="991">
        <v>20000</v>
      </c>
      <c r="O136" s="1044"/>
      <c r="P136" s="1044"/>
      <c r="Q136" s="1044"/>
      <c r="R136" s="1044"/>
      <c r="S136" s="1044"/>
      <c r="T136" s="1044"/>
    </row>
    <row r="137" spans="1:20" ht="21">
      <c r="A137" s="1003"/>
      <c r="B137" s="1091"/>
      <c r="C137" s="1011" t="s">
        <v>1280</v>
      </c>
      <c r="D137" s="991">
        <v>30000</v>
      </c>
      <c r="E137" s="1173"/>
      <c r="F137" s="1173"/>
      <c r="G137" s="1173"/>
      <c r="H137" s="1173"/>
      <c r="I137" s="1173"/>
      <c r="J137" s="1173"/>
      <c r="K137" s="1173"/>
      <c r="L137" s="1173"/>
      <c r="M137" s="1088" t="s">
        <v>520</v>
      </c>
      <c r="N137" s="991">
        <v>30000</v>
      </c>
      <c r="O137" s="1044"/>
      <c r="P137" s="1044"/>
      <c r="Q137" s="1044"/>
      <c r="R137" s="1044"/>
      <c r="S137" s="1044"/>
      <c r="T137" s="1044"/>
    </row>
    <row r="138" spans="1:20" ht="43.5" customHeight="1">
      <c r="A138" s="1117"/>
      <c r="B138" s="1118"/>
      <c r="C138" s="1014" t="s">
        <v>1410</v>
      </c>
      <c r="D138" s="1005">
        <f>16820+43200</f>
        <v>60020</v>
      </c>
      <c r="E138" s="1173"/>
      <c r="F138" s="1173"/>
      <c r="G138" s="1173"/>
      <c r="H138" s="1173"/>
      <c r="I138" s="1173"/>
      <c r="J138" s="1173"/>
      <c r="K138" s="1173"/>
      <c r="L138" s="1173"/>
      <c r="M138" s="1088" t="s">
        <v>520</v>
      </c>
      <c r="N138" s="1005">
        <f>16820+43200</f>
        <v>60020</v>
      </c>
      <c r="O138" s="1044"/>
      <c r="P138" s="1044"/>
      <c r="Q138" s="1044"/>
      <c r="R138" s="1044"/>
      <c r="S138" s="1044"/>
      <c r="T138" s="1044"/>
    </row>
    <row r="139" spans="1:20" ht="21">
      <c r="A139" s="1117"/>
      <c r="B139" s="1118"/>
      <c r="C139" s="1011" t="s">
        <v>1282</v>
      </c>
      <c r="D139" s="991">
        <v>7900</v>
      </c>
      <c r="E139" s="1173"/>
      <c r="F139" s="1173"/>
      <c r="G139" s="1173"/>
      <c r="H139" s="1173"/>
      <c r="I139" s="1173"/>
      <c r="J139" s="1173"/>
      <c r="K139" s="1173"/>
      <c r="L139" s="1173"/>
      <c r="M139" s="1088" t="s">
        <v>520</v>
      </c>
      <c r="N139" s="991">
        <v>7900</v>
      </c>
      <c r="O139" s="1044"/>
      <c r="P139" s="1044"/>
      <c r="Q139" s="1044"/>
      <c r="R139" s="1044"/>
      <c r="S139" s="1044"/>
      <c r="T139" s="1044"/>
    </row>
    <row r="140" spans="1:20" ht="21">
      <c r="A140" s="1117"/>
      <c r="B140" s="1118"/>
      <c r="C140" s="1011" t="s">
        <v>1312</v>
      </c>
      <c r="D140" s="991">
        <v>80000</v>
      </c>
      <c r="E140" s="1173"/>
      <c r="F140" s="1173"/>
      <c r="G140" s="1173"/>
      <c r="H140" s="1173"/>
      <c r="I140" s="1173"/>
      <c r="J140" s="1173"/>
      <c r="K140" s="1173"/>
      <c r="L140" s="1173"/>
      <c r="M140" s="1088" t="s">
        <v>520</v>
      </c>
      <c r="N140" s="991">
        <v>80000</v>
      </c>
      <c r="O140" s="1044"/>
      <c r="P140" s="1044"/>
      <c r="Q140" s="1044"/>
      <c r="R140" s="1044"/>
      <c r="S140" s="1044"/>
      <c r="T140" s="1044"/>
    </row>
    <row r="141" spans="1:20" ht="21">
      <c r="A141" s="1117"/>
      <c r="B141" s="1118"/>
      <c r="C141" s="1011" t="s">
        <v>1313</v>
      </c>
      <c r="D141" s="991">
        <v>30000</v>
      </c>
      <c r="E141" s="1173"/>
      <c r="F141" s="1173"/>
      <c r="G141" s="1173"/>
      <c r="H141" s="1173"/>
      <c r="I141" s="1173"/>
      <c r="J141" s="1173"/>
      <c r="K141" s="1173"/>
      <c r="L141" s="1173"/>
      <c r="M141" s="1088" t="s">
        <v>520</v>
      </c>
      <c r="N141" s="991">
        <v>30000</v>
      </c>
      <c r="O141" s="1044"/>
      <c r="P141" s="1044"/>
      <c r="Q141" s="1044"/>
      <c r="R141" s="1044"/>
      <c r="S141" s="1044"/>
      <c r="T141" s="1044"/>
    </row>
    <row r="142" spans="1:20" ht="21">
      <c r="A142" s="1117"/>
      <c r="B142" s="1118"/>
      <c r="C142" s="1009" t="s">
        <v>1411</v>
      </c>
      <c r="D142" s="991">
        <v>60000</v>
      </c>
      <c r="E142" s="1173"/>
      <c r="F142" s="1173"/>
      <c r="G142" s="1173"/>
      <c r="H142" s="1173"/>
      <c r="I142" s="1173"/>
      <c r="J142" s="1173"/>
      <c r="K142" s="1173"/>
      <c r="L142" s="1173"/>
      <c r="M142" s="1088" t="s">
        <v>520</v>
      </c>
      <c r="N142" s="991">
        <v>60000</v>
      </c>
      <c r="O142" s="1044"/>
      <c r="P142" s="1044"/>
      <c r="Q142" s="1044"/>
      <c r="R142" s="1044"/>
      <c r="S142" s="1044"/>
      <c r="T142" s="1044"/>
    </row>
    <row r="143" spans="1:20" ht="21">
      <c r="A143" s="1117"/>
      <c r="B143" s="1118"/>
      <c r="C143" s="1009" t="s">
        <v>1412</v>
      </c>
      <c r="D143" s="991" t="s">
        <v>34</v>
      </c>
      <c r="E143" s="1173"/>
      <c r="F143" s="1173"/>
      <c r="G143" s="1173"/>
      <c r="H143" s="1173"/>
      <c r="I143" s="1173"/>
      <c r="J143" s="1173"/>
      <c r="K143" s="1173"/>
      <c r="L143" s="1173"/>
      <c r="M143" s="1088" t="s">
        <v>520</v>
      </c>
      <c r="N143" s="991" t="s">
        <v>34</v>
      </c>
      <c r="O143" s="1044"/>
      <c r="P143" s="1044"/>
      <c r="Q143" s="1044"/>
      <c r="R143" s="1044"/>
      <c r="S143" s="1044"/>
      <c r="T143" s="1044"/>
    </row>
    <row r="144" spans="1:20" ht="42">
      <c r="A144" s="1117"/>
      <c r="B144" s="1118"/>
      <c r="C144" s="1013" t="s">
        <v>1413</v>
      </c>
      <c r="D144" s="1005">
        <v>1309100</v>
      </c>
      <c r="E144" s="1173"/>
      <c r="F144" s="1173"/>
      <c r="G144" s="1173"/>
      <c r="H144" s="1173"/>
      <c r="I144" s="1173"/>
      <c r="J144" s="1173"/>
      <c r="K144" s="1173"/>
      <c r="L144" s="1173"/>
      <c r="M144" s="1088" t="s">
        <v>520</v>
      </c>
      <c r="N144" s="1005">
        <v>1309100</v>
      </c>
      <c r="O144" s="1044"/>
      <c r="P144" s="1044"/>
      <c r="Q144" s="1044"/>
      <c r="R144" s="1044"/>
      <c r="S144" s="1044"/>
      <c r="T144" s="1044"/>
    </row>
    <row r="145" spans="1:20" ht="42">
      <c r="A145" s="1117"/>
      <c r="B145" s="1118"/>
      <c r="C145" s="1002" t="s">
        <v>1414</v>
      </c>
      <c r="D145" s="991">
        <v>10000</v>
      </c>
      <c r="E145" s="1071"/>
      <c r="F145" s="1071"/>
      <c r="G145" s="1071"/>
      <c r="H145" s="1071"/>
      <c r="I145" s="1071"/>
      <c r="J145" s="1071"/>
      <c r="K145" s="1071"/>
      <c r="L145" s="1071"/>
      <c r="M145" s="1088" t="s">
        <v>520</v>
      </c>
      <c r="N145" s="991">
        <v>10000</v>
      </c>
      <c r="O145" s="1044"/>
      <c r="P145" s="1044"/>
      <c r="Q145" s="1044"/>
      <c r="R145" s="1044"/>
      <c r="S145" s="1044"/>
      <c r="T145" s="1044"/>
    </row>
    <row r="146" spans="1:20" ht="42">
      <c r="A146" s="1117"/>
      <c r="B146" s="1091" t="s">
        <v>34</v>
      </c>
      <c r="C146" s="987" t="s">
        <v>1415</v>
      </c>
      <c r="D146" s="1018" t="s">
        <v>1471</v>
      </c>
      <c r="E146" s="1044"/>
      <c r="F146" s="1044"/>
      <c r="G146" s="1044"/>
      <c r="H146" s="1044"/>
      <c r="I146" s="1044"/>
      <c r="J146" s="1044"/>
      <c r="K146" s="1044"/>
      <c r="L146" s="1044"/>
      <c r="M146" s="1088" t="s">
        <v>520</v>
      </c>
      <c r="N146" s="996">
        <v>2462700</v>
      </c>
      <c r="O146" s="1044"/>
      <c r="P146" s="1044"/>
      <c r="Q146" s="1044"/>
      <c r="R146" s="1044"/>
      <c r="S146" s="1044"/>
      <c r="T146" s="1044"/>
    </row>
    <row r="147" spans="1:20" ht="280.5" customHeight="1">
      <c r="A147" s="1120"/>
      <c r="B147" s="1088" t="s">
        <v>577</v>
      </c>
      <c r="C147" s="1073" t="s">
        <v>1314</v>
      </c>
      <c r="D147" s="1018" t="s">
        <v>1471</v>
      </c>
      <c r="E147" s="1395" t="s">
        <v>792</v>
      </c>
      <c r="F147" s="1395" t="s">
        <v>793</v>
      </c>
      <c r="G147" s="1395" t="s">
        <v>794</v>
      </c>
      <c r="H147" s="1395" t="s">
        <v>794</v>
      </c>
      <c r="I147" s="1395" t="s">
        <v>790</v>
      </c>
      <c r="J147" s="1395" t="s">
        <v>1664</v>
      </c>
      <c r="K147" s="1044"/>
      <c r="L147" s="1044"/>
      <c r="M147" s="1088" t="s">
        <v>520</v>
      </c>
      <c r="N147" s="1017">
        <v>100000</v>
      </c>
      <c r="O147" s="1044"/>
      <c r="P147" s="1044"/>
      <c r="Q147" s="1044"/>
      <c r="R147" s="1044"/>
      <c r="S147" s="1044"/>
      <c r="T147" s="1044"/>
    </row>
    <row r="148" spans="1:20" ht="63">
      <c r="A148" s="1120"/>
      <c r="B148" s="1088" t="s">
        <v>577</v>
      </c>
      <c r="C148" s="1073" t="s">
        <v>1315</v>
      </c>
      <c r="D148" s="1018" t="s">
        <v>1471</v>
      </c>
      <c r="E148" s="1393" t="s">
        <v>795</v>
      </c>
      <c r="F148" s="1393" t="s">
        <v>798</v>
      </c>
      <c r="G148" s="1393" t="s">
        <v>796</v>
      </c>
      <c r="H148" s="1393" t="s">
        <v>797</v>
      </c>
      <c r="I148" s="1393" t="s">
        <v>519</v>
      </c>
      <c r="J148" s="1395" t="s">
        <v>1664</v>
      </c>
      <c r="K148" s="1044"/>
      <c r="L148" s="1044"/>
      <c r="M148" s="1088" t="s">
        <v>520</v>
      </c>
      <c r="N148" s="1017">
        <v>5000</v>
      </c>
      <c r="O148" s="1044"/>
      <c r="P148" s="1044"/>
      <c r="Q148" s="1044"/>
      <c r="R148" s="1044"/>
      <c r="S148" s="1044"/>
      <c r="T148" s="1044"/>
    </row>
    <row r="149" spans="1:20" ht="141.75">
      <c r="A149" s="1120"/>
      <c r="B149" s="1088" t="s">
        <v>577</v>
      </c>
      <c r="C149" s="1073" t="s">
        <v>1316</v>
      </c>
      <c r="D149" s="1018" t="s">
        <v>1471</v>
      </c>
      <c r="E149" s="1399" t="s">
        <v>709</v>
      </c>
      <c r="F149" s="1399" t="s">
        <v>710</v>
      </c>
      <c r="G149" s="1399" t="s">
        <v>870</v>
      </c>
      <c r="H149" s="1399" t="s">
        <v>711</v>
      </c>
      <c r="I149" s="1400" t="s">
        <v>712</v>
      </c>
      <c r="J149" s="1395" t="s">
        <v>1664</v>
      </c>
      <c r="K149" s="1044"/>
      <c r="L149" s="1044"/>
      <c r="M149" s="1088" t="s">
        <v>520</v>
      </c>
      <c r="N149" s="1017">
        <v>5000</v>
      </c>
      <c r="O149" s="1044"/>
      <c r="P149" s="1044"/>
      <c r="Q149" s="1044"/>
      <c r="R149" s="1044"/>
      <c r="S149" s="1044"/>
      <c r="T149" s="1044"/>
    </row>
    <row r="150" spans="1:20" ht="232.5" customHeight="1">
      <c r="A150" s="1120"/>
      <c r="B150" s="1088" t="s">
        <v>577</v>
      </c>
      <c r="C150" s="1073" t="s">
        <v>1317</v>
      </c>
      <c r="D150" s="1018" t="s">
        <v>1471</v>
      </c>
      <c r="E150" s="1391" t="s">
        <v>713</v>
      </c>
      <c r="F150" s="1392" t="s">
        <v>714</v>
      </c>
      <c r="G150" s="1391" t="s">
        <v>715</v>
      </c>
      <c r="H150" s="1391" t="s">
        <v>716</v>
      </c>
      <c r="I150" s="1401" t="s">
        <v>911</v>
      </c>
      <c r="J150" s="1395" t="s">
        <v>1664</v>
      </c>
      <c r="K150" s="1044"/>
      <c r="L150" s="1044"/>
      <c r="M150" s="1088" t="s">
        <v>520</v>
      </c>
      <c r="N150" s="1017">
        <v>5000</v>
      </c>
      <c r="O150" s="1044"/>
      <c r="P150" s="1044"/>
      <c r="Q150" s="1044"/>
      <c r="R150" s="1044"/>
      <c r="S150" s="1044"/>
      <c r="T150" s="1044"/>
    </row>
    <row r="151" spans="1:20" ht="63">
      <c r="A151" s="1120"/>
      <c r="B151" s="1088" t="s">
        <v>577</v>
      </c>
      <c r="C151" s="1073" t="s">
        <v>1318</v>
      </c>
      <c r="D151" s="1018" t="s">
        <v>1471</v>
      </c>
      <c r="E151" s="1391" t="s">
        <v>1659</v>
      </c>
      <c r="F151" s="1391" t="s">
        <v>1660</v>
      </c>
      <c r="G151" s="1391" t="s">
        <v>1661</v>
      </c>
      <c r="H151" s="1391" t="s">
        <v>1662</v>
      </c>
      <c r="I151" s="1391" t="s">
        <v>1663</v>
      </c>
      <c r="J151" s="1395" t="s">
        <v>1664</v>
      </c>
      <c r="K151" s="1044"/>
      <c r="L151" s="1044"/>
      <c r="M151" s="1088" t="s">
        <v>520</v>
      </c>
      <c r="N151" s="1017">
        <v>5000</v>
      </c>
      <c r="O151" s="1044"/>
      <c r="P151" s="1044"/>
      <c r="Q151" s="1044"/>
      <c r="R151" s="1044"/>
      <c r="S151" s="1044"/>
      <c r="T151" s="1044"/>
    </row>
    <row r="152" spans="1:20" ht="47.25">
      <c r="A152" s="1120"/>
      <c r="B152" s="1088" t="s">
        <v>577</v>
      </c>
      <c r="C152" s="1073" t="s">
        <v>1319</v>
      </c>
      <c r="D152" s="1018" t="s">
        <v>1471</v>
      </c>
      <c r="E152" s="1394" t="s">
        <v>717</v>
      </c>
      <c r="F152" s="1394" t="s">
        <v>881</v>
      </c>
      <c r="G152" s="1394" t="s">
        <v>871</v>
      </c>
      <c r="H152" s="1394" t="s">
        <v>655</v>
      </c>
      <c r="I152" s="1394" t="s">
        <v>519</v>
      </c>
      <c r="J152" s="1394" t="s">
        <v>1665</v>
      </c>
      <c r="K152" s="1044"/>
      <c r="L152" s="1044"/>
      <c r="M152" s="1088" t="s">
        <v>520</v>
      </c>
      <c r="N152" s="1017">
        <v>5000</v>
      </c>
      <c r="O152" s="1044"/>
      <c r="P152" s="1044"/>
      <c r="Q152" s="1044"/>
      <c r="R152" s="1044"/>
      <c r="S152" s="1044"/>
      <c r="T152" s="1044"/>
    </row>
    <row r="153" spans="1:20" ht="63">
      <c r="A153" s="1121"/>
      <c r="B153" s="1088" t="s">
        <v>577</v>
      </c>
      <c r="C153" s="1073" t="s">
        <v>1320</v>
      </c>
      <c r="D153" s="1018" t="s">
        <v>1471</v>
      </c>
      <c r="E153" s="1394" t="s">
        <v>718</v>
      </c>
      <c r="F153" s="1394" t="s">
        <v>719</v>
      </c>
      <c r="G153" s="1394" t="s">
        <v>721</v>
      </c>
      <c r="H153" s="1394" t="s">
        <v>722</v>
      </c>
      <c r="I153" s="1394" t="s">
        <v>722</v>
      </c>
      <c r="J153" s="1394" t="s">
        <v>624</v>
      </c>
      <c r="K153" s="1044"/>
      <c r="L153" s="1044"/>
      <c r="M153" s="1088" t="s">
        <v>520</v>
      </c>
      <c r="N153" s="1017">
        <v>1400000</v>
      </c>
      <c r="O153" s="1044"/>
      <c r="P153" s="1044"/>
      <c r="Q153" s="1044"/>
      <c r="R153" s="1044"/>
      <c r="S153" s="1044"/>
      <c r="T153" s="1044"/>
    </row>
    <row r="154" spans="1:20" ht="78.75">
      <c r="A154" s="1120"/>
      <c r="B154" s="1088" t="s">
        <v>577</v>
      </c>
      <c r="C154" s="1073" t="s">
        <v>1321</v>
      </c>
      <c r="D154" s="1018" t="s">
        <v>1471</v>
      </c>
      <c r="E154" s="1394" t="s">
        <v>726</v>
      </c>
      <c r="F154" s="1394" t="s">
        <v>723</v>
      </c>
      <c r="G154" s="1394" t="s">
        <v>1027</v>
      </c>
      <c r="H154" s="1394" t="s">
        <v>724</v>
      </c>
      <c r="I154" s="1394" t="s">
        <v>727</v>
      </c>
      <c r="J154" s="1395" t="s">
        <v>1664</v>
      </c>
      <c r="K154" s="1044"/>
      <c r="L154" s="1044"/>
      <c r="M154" s="1088" t="s">
        <v>520</v>
      </c>
      <c r="N154" s="1017">
        <v>50000</v>
      </c>
      <c r="O154" s="1044"/>
      <c r="P154" s="1044"/>
      <c r="Q154" s="1044"/>
      <c r="R154" s="1044"/>
      <c r="S154" s="1044"/>
      <c r="T154" s="1044"/>
    </row>
    <row r="155" spans="1:20" ht="126">
      <c r="A155" s="1120"/>
      <c r="B155" s="1088" t="s">
        <v>577</v>
      </c>
      <c r="C155" s="1073" t="s">
        <v>1322</v>
      </c>
      <c r="D155" s="1018" t="s">
        <v>1471</v>
      </c>
      <c r="E155" s="1391" t="s">
        <v>728</v>
      </c>
      <c r="F155" s="1392" t="s">
        <v>729</v>
      </c>
      <c r="G155" s="1391" t="s">
        <v>730</v>
      </c>
      <c r="H155" s="1391" t="s">
        <v>731</v>
      </c>
      <c r="I155" s="1391" t="s">
        <v>732</v>
      </c>
      <c r="J155" s="1393" t="s">
        <v>1653</v>
      </c>
      <c r="K155" s="1044"/>
      <c r="L155" s="1044"/>
      <c r="M155" s="1088" t="s">
        <v>520</v>
      </c>
      <c r="N155" s="1017">
        <v>200000</v>
      </c>
      <c r="O155" s="1044"/>
      <c r="P155" s="1044"/>
      <c r="Q155" s="1044"/>
      <c r="R155" s="1044"/>
      <c r="S155" s="1044"/>
      <c r="T155" s="1044"/>
    </row>
    <row r="156" spans="1:20" ht="94.5">
      <c r="A156" s="1120"/>
      <c r="B156" s="1088" t="s">
        <v>577</v>
      </c>
      <c r="C156" s="1073" t="s">
        <v>1323</v>
      </c>
      <c r="D156" s="1018" t="s">
        <v>1471</v>
      </c>
      <c r="E156" s="1394" t="s">
        <v>799</v>
      </c>
      <c r="F156" s="1394" t="s">
        <v>801</v>
      </c>
      <c r="G156" s="1394" t="s">
        <v>800</v>
      </c>
      <c r="H156" s="1394" t="s">
        <v>802</v>
      </c>
      <c r="I156" s="1394" t="s">
        <v>803</v>
      </c>
      <c r="J156" s="1395" t="s">
        <v>1664</v>
      </c>
      <c r="K156" s="1044"/>
      <c r="L156" s="1044"/>
      <c r="M156" s="1088" t="s">
        <v>520</v>
      </c>
      <c r="N156" s="1017">
        <v>10000</v>
      </c>
      <c r="O156" s="1044"/>
      <c r="P156" s="1044"/>
      <c r="Q156" s="1044"/>
      <c r="R156" s="1044"/>
      <c r="S156" s="1044"/>
      <c r="T156" s="1044"/>
    </row>
    <row r="157" spans="1:20" ht="47.25">
      <c r="A157" s="1120"/>
      <c r="B157" s="1088" t="s">
        <v>577</v>
      </c>
      <c r="C157" s="1073" t="s">
        <v>1324</v>
      </c>
      <c r="D157" s="1018" t="s">
        <v>1471</v>
      </c>
      <c r="E157" s="1394" t="s">
        <v>733</v>
      </c>
      <c r="F157" s="1394" t="s">
        <v>734</v>
      </c>
      <c r="G157" s="1394" t="s">
        <v>735</v>
      </c>
      <c r="H157" s="1394" t="s">
        <v>736</v>
      </c>
      <c r="I157" s="1394" t="s">
        <v>737</v>
      </c>
      <c r="J157" s="1395" t="s">
        <v>1664</v>
      </c>
      <c r="K157" s="1044"/>
      <c r="L157" s="1044"/>
      <c r="M157" s="1088" t="s">
        <v>520</v>
      </c>
      <c r="N157" s="1017">
        <v>5000</v>
      </c>
      <c r="O157" s="1044"/>
      <c r="P157" s="1044"/>
      <c r="Q157" s="1044"/>
      <c r="R157" s="1044"/>
      <c r="S157" s="1044"/>
      <c r="T157" s="1044"/>
    </row>
    <row r="158" spans="1:20" ht="110.25">
      <c r="A158" s="1120"/>
      <c r="B158" s="1088" t="s">
        <v>577</v>
      </c>
      <c r="C158" s="1073" t="s">
        <v>1325</v>
      </c>
      <c r="D158" s="1018" t="s">
        <v>1471</v>
      </c>
      <c r="E158" s="1394" t="s">
        <v>738</v>
      </c>
      <c r="F158" s="1394" t="s">
        <v>739</v>
      </c>
      <c r="G158" s="1394" t="s">
        <v>740</v>
      </c>
      <c r="H158" s="1394" t="s">
        <v>742</v>
      </c>
      <c r="I158" s="1394" t="s">
        <v>694</v>
      </c>
      <c r="J158" s="1395" t="s">
        <v>1664</v>
      </c>
      <c r="K158" s="1044"/>
      <c r="L158" s="1044"/>
      <c r="M158" s="1088" t="s">
        <v>520</v>
      </c>
      <c r="N158" s="1017">
        <v>10000</v>
      </c>
      <c r="O158" s="1044"/>
      <c r="P158" s="1044"/>
      <c r="Q158" s="1044"/>
      <c r="R158" s="1044"/>
      <c r="S158" s="1044"/>
      <c r="T158" s="1044"/>
    </row>
    <row r="159" spans="1:20" ht="141.75">
      <c r="A159" s="1120"/>
      <c r="B159" s="1088" t="s">
        <v>577</v>
      </c>
      <c r="C159" s="1073" t="s">
        <v>1326</v>
      </c>
      <c r="D159" s="1018" t="s">
        <v>1471</v>
      </c>
      <c r="E159" s="1394" t="s">
        <v>743</v>
      </c>
      <c r="F159" s="1394" t="s">
        <v>744</v>
      </c>
      <c r="G159" s="1394" t="s">
        <v>745</v>
      </c>
      <c r="H159" s="1394" t="s">
        <v>746</v>
      </c>
      <c r="I159" s="1394" t="s">
        <v>747</v>
      </c>
      <c r="J159" s="1395" t="s">
        <v>1664</v>
      </c>
      <c r="K159" s="1044"/>
      <c r="L159" s="1044"/>
      <c r="M159" s="1088" t="s">
        <v>520</v>
      </c>
      <c r="N159" s="1017">
        <v>10000</v>
      </c>
      <c r="O159" s="1044"/>
      <c r="P159" s="1044"/>
      <c r="Q159" s="1044"/>
      <c r="R159" s="1044"/>
      <c r="S159" s="1044"/>
      <c r="T159" s="1044"/>
    </row>
    <row r="160" spans="1:20" ht="63">
      <c r="A160" s="1120"/>
      <c r="B160" s="1088" t="s">
        <v>577</v>
      </c>
      <c r="C160" s="1073" t="s">
        <v>1327</v>
      </c>
      <c r="D160" s="1018" t="s">
        <v>1471</v>
      </c>
      <c r="E160" s="1394" t="s">
        <v>812</v>
      </c>
      <c r="F160" s="1394" t="s">
        <v>811</v>
      </c>
      <c r="G160" s="1394" t="s">
        <v>815</v>
      </c>
      <c r="H160" s="1394" t="s">
        <v>612</v>
      </c>
      <c r="I160" s="1394" t="s">
        <v>813</v>
      </c>
      <c r="J160" s="1394" t="s">
        <v>1666</v>
      </c>
      <c r="K160" s="1044"/>
      <c r="L160" s="1044"/>
      <c r="M160" s="1088" t="s">
        <v>520</v>
      </c>
      <c r="N160" s="1017">
        <v>10000</v>
      </c>
      <c r="O160" s="1044"/>
      <c r="P160" s="1044"/>
      <c r="Q160" s="1044"/>
      <c r="R160" s="1044"/>
      <c r="S160" s="1044"/>
      <c r="T160" s="1044"/>
    </row>
    <row r="161" spans="1:20" ht="63">
      <c r="A161" s="1120"/>
      <c r="B161" s="1088" t="s">
        <v>577</v>
      </c>
      <c r="C161" s="1073" t="s">
        <v>1328</v>
      </c>
      <c r="D161" s="1018" t="s">
        <v>1471</v>
      </c>
      <c r="E161" s="1393" t="s">
        <v>1654</v>
      </c>
      <c r="F161" s="1393" t="s">
        <v>816</v>
      </c>
      <c r="G161" s="1393" t="s">
        <v>900</v>
      </c>
      <c r="H161" s="1393" t="s">
        <v>655</v>
      </c>
      <c r="I161" s="1393" t="s">
        <v>519</v>
      </c>
      <c r="J161" s="1393" t="s">
        <v>57</v>
      </c>
      <c r="K161" s="1044"/>
      <c r="L161" s="1044"/>
      <c r="M161" s="1088" t="s">
        <v>520</v>
      </c>
      <c r="N161" s="1017">
        <v>24000</v>
      </c>
      <c r="O161" s="1044"/>
      <c r="P161" s="1044"/>
      <c r="Q161" s="1044"/>
      <c r="R161" s="1044"/>
      <c r="S161" s="1044"/>
      <c r="T161" s="1044"/>
    </row>
    <row r="162" spans="1:20" ht="94.5">
      <c r="A162" s="1120"/>
      <c r="B162" s="1088" t="s">
        <v>1468</v>
      </c>
      <c r="C162" s="1073" t="s">
        <v>1329</v>
      </c>
      <c r="D162" s="1018" t="s">
        <v>1471</v>
      </c>
      <c r="E162" s="1394" t="s">
        <v>703</v>
      </c>
      <c r="F162" s="1394" t="s">
        <v>705</v>
      </c>
      <c r="G162" s="1394" t="s">
        <v>706</v>
      </c>
      <c r="H162" s="1394" t="s">
        <v>708</v>
      </c>
      <c r="I162" s="1394" t="s">
        <v>707</v>
      </c>
      <c r="J162" s="1395" t="s">
        <v>1664</v>
      </c>
      <c r="K162" s="1044"/>
      <c r="L162" s="1044"/>
      <c r="M162" s="1088" t="s">
        <v>520</v>
      </c>
      <c r="N162" s="1017">
        <v>5000</v>
      </c>
      <c r="O162" s="1044"/>
      <c r="P162" s="1044"/>
      <c r="Q162" s="1044"/>
      <c r="R162" s="1044"/>
      <c r="S162" s="1044"/>
      <c r="T162" s="1044"/>
    </row>
    <row r="163" spans="1:20" ht="47.25">
      <c r="A163" s="1120"/>
      <c r="B163" s="1088" t="s">
        <v>577</v>
      </c>
      <c r="C163" s="1073" t="s">
        <v>1330</v>
      </c>
      <c r="D163" s="1018" t="s">
        <v>1471</v>
      </c>
      <c r="E163" s="1394" t="s">
        <v>1655</v>
      </c>
      <c r="F163" s="1394" t="s">
        <v>1656</v>
      </c>
      <c r="G163" s="1394" t="s">
        <v>1657</v>
      </c>
      <c r="H163" s="1394" t="s">
        <v>1658</v>
      </c>
      <c r="I163" s="1394" t="s">
        <v>828</v>
      </c>
      <c r="J163" s="1395" t="s">
        <v>1664</v>
      </c>
      <c r="K163" s="1044"/>
      <c r="L163" s="1044"/>
      <c r="M163" s="1088" t="s">
        <v>520</v>
      </c>
      <c r="N163" s="1017">
        <v>5000</v>
      </c>
      <c r="O163" s="1044"/>
      <c r="P163" s="1044"/>
      <c r="Q163" s="1044"/>
      <c r="R163" s="1044"/>
      <c r="S163" s="1044"/>
      <c r="T163" s="1044"/>
    </row>
    <row r="164" spans="1:20" ht="56.25">
      <c r="A164" s="1121"/>
      <c r="B164" s="1088" t="s">
        <v>1467</v>
      </c>
      <c r="C164" s="1073" t="s">
        <v>1331</v>
      </c>
      <c r="D164" s="1018" t="s">
        <v>1471</v>
      </c>
      <c r="E164" s="1044"/>
      <c r="F164" s="1044"/>
      <c r="G164" s="1044"/>
      <c r="H164" s="1044"/>
      <c r="I164" s="1044"/>
      <c r="J164" s="1044"/>
      <c r="K164" s="1044"/>
      <c r="L164" s="1044"/>
      <c r="M164" s="1088" t="s">
        <v>520</v>
      </c>
      <c r="N164" s="1017">
        <v>200000</v>
      </c>
      <c r="O164" s="1044"/>
      <c r="P164" s="1044"/>
      <c r="Q164" s="1044"/>
      <c r="R164" s="1044"/>
      <c r="S164" s="1044"/>
      <c r="T164" s="1044"/>
    </row>
    <row r="165" spans="1:20" ht="56.25">
      <c r="A165" s="1120"/>
      <c r="B165" s="1088" t="s">
        <v>1467</v>
      </c>
      <c r="C165" s="1073" t="s">
        <v>1332</v>
      </c>
      <c r="D165" s="1018" t="s">
        <v>1471</v>
      </c>
      <c r="E165" s="1044"/>
      <c r="F165" s="1044"/>
      <c r="G165" s="1044"/>
      <c r="H165" s="1044"/>
      <c r="I165" s="1044"/>
      <c r="J165" s="1044"/>
      <c r="K165" s="1044"/>
      <c r="L165" s="1044"/>
      <c r="M165" s="1088" t="s">
        <v>520</v>
      </c>
      <c r="N165" s="1017">
        <v>50000</v>
      </c>
      <c r="O165" s="1044"/>
      <c r="P165" s="1044"/>
      <c r="Q165" s="1044"/>
      <c r="R165" s="1044"/>
      <c r="S165" s="1044"/>
      <c r="T165" s="1044"/>
    </row>
    <row r="166" spans="1:20" ht="37.5">
      <c r="A166" s="1120"/>
      <c r="B166" s="1088" t="s">
        <v>1467</v>
      </c>
      <c r="C166" s="1073" t="s">
        <v>1333</v>
      </c>
      <c r="D166" s="1018" t="s">
        <v>1471</v>
      </c>
      <c r="E166" s="1044"/>
      <c r="F166" s="1044"/>
      <c r="G166" s="1044"/>
      <c r="H166" s="1044"/>
      <c r="I166" s="1044"/>
      <c r="J166" s="1044"/>
      <c r="K166" s="1044"/>
      <c r="L166" s="1044"/>
      <c r="M166" s="1088" t="s">
        <v>520</v>
      </c>
      <c r="N166" s="1017">
        <v>5000</v>
      </c>
      <c r="O166" s="1044"/>
      <c r="P166" s="1044"/>
      <c r="Q166" s="1044"/>
      <c r="R166" s="1044"/>
      <c r="S166" s="1044"/>
      <c r="T166" s="1044"/>
    </row>
    <row r="167" spans="1:20" ht="37.5">
      <c r="A167" s="1120"/>
      <c r="B167" s="1088" t="s">
        <v>1467</v>
      </c>
      <c r="C167" s="1073" t="s">
        <v>1334</v>
      </c>
      <c r="D167" s="1018" t="s">
        <v>1471</v>
      </c>
      <c r="E167" s="1044"/>
      <c r="F167" s="1044"/>
      <c r="G167" s="1044"/>
      <c r="H167" s="1044"/>
      <c r="I167" s="1044"/>
      <c r="J167" s="1044"/>
      <c r="K167" s="1044"/>
      <c r="L167" s="1044"/>
      <c r="M167" s="1088" t="s">
        <v>520</v>
      </c>
      <c r="N167" s="1017">
        <v>150000</v>
      </c>
      <c r="O167" s="1044"/>
      <c r="P167" s="1044"/>
      <c r="Q167" s="1044"/>
      <c r="R167" s="1044"/>
      <c r="S167" s="1044"/>
      <c r="T167" s="1044"/>
    </row>
    <row r="168" spans="1:20" ht="37.5">
      <c r="A168" s="1120"/>
      <c r="B168" s="1088" t="s">
        <v>365</v>
      </c>
      <c r="C168" s="1073" t="s">
        <v>1335</v>
      </c>
      <c r="D168" s="1018" t="s">
        <v>1471</v>
      </c>
      <c r="E168" s="1044"/>
      <c r="F168" s="1044"/>
      <c r="G168" s="1044"/>
      <c r="H168" s="1044"/>
      <c r="I168" s="1044"/>
      <c r="J168" s="1044"/>
      <c r="K168" s="1044"/>
      <c r="L168" s="1044"/>
      <c r="M168" s="1088" t="s">
        <v>520</v>
      </c>
      <c r="N168" s="1017">
        <v>15000</v>
      </c>
      <c r="O168" s="1044"/>
      <c r="P168" s="1044"/>
      <c r="Q168" s="1044"/>
      <c r="R168" s="1044"/>
      <c r="S168" s="1044"/>
      <c r="T168" s="1044"/>
    </row>
    <row r="169" spans="1:20" ht="56.25">
      <c r="A169" s="1120"/>
      <c r="B169" s="1088" t="s">
        <v>365</v>
      </c>
      <c r="C169" s="1073" t="s">
        <v>1336</v>
      </c>
      <c r="D169" s="1018" t="s">
        <v>1471</v>
      </c>
      <c r="E169" s="1044"/>
      <c r="F169" s="1044"/>
      <c r="G169" s="1044"/>
      <c r="H169" s="1044"/>
      <c r="I169" s="1044"/>
      <c r="J169" s="1044"/>
      <c r="K169" s="1044"/>
      <c r="L169" s="1044"/>
      <c r="M169" s="1088" t="s">
        <v>520</v>
      </c>
      <c r="N169" s="1017">
        <v>18000</v>
      </c>
      <c r="O169" s="1044"/>
      <c r="P169" s="1044"/>
      <c r="Q169" s="1044"/>
      <c r="R169" s="1044"/>
      <c r="S169" s="1044"/>
      <c r="T169" s="1044"/>
    </row>
    <row r="170" spans="1:20" ht="150">
      <c r="A170" s="1120"/>
      <c r="B170" s="1088" t="s">
        <v>101</v>
      </c>
      <c r="C170" s="1073" t="s">
        <v>1337</v>
      </c>
      <c r="D170" s="1018" t="s">
        <v>1471</v>
      </c>
      <c r="E170" s="1170" t="s">
        <v>1493</v>
      </c>
      <c r="F170" s="1170" t="s">
        <v>1494</v>
      </c>
      <c r="G170" s="1170" t="s">
        <v>1495</v>
      </c>
      <c r="H170" s="1170" t="s">
        <v>1496</v>
      </c>
      <c r="I170" s="1088" t="s">
        <v>828</v>
      </c>
      <c r="J170" s="1088" t="s">
        <v>1491</v>
      </c>
      <c r="K170" s="1172"/>
      <c r="L170" s="1170" t="s">
        <v>1497</v>
      </c>
      <c r="M170" s="1088" t="s">
        <v>520</v>
      </c>
      <c r="N170" s="1017">
        <v>46500</v>
      </c>
      <c r="O170" s="1044"/>
      <c r="P170" s="1044"/>
      <c r="Q170" s="1044"/>
      <c r="R170" s="1044"/>
      <c r="S170" s="1044"/>
      <c r="T170" s="1044"/>
    </row>
    <row r="171" spans="1:20" ht="56.25">
      <c r="A171" s="1120"/>
      <c r="B171" s="1088" t="s">
        <v>101</v>
      </c>
      <c r="C171" s="1073" t="s">
        <v>1338</v>
      </c>
      <c r="D171" s="1018" t="s">
        <v>1471</v>
      </c>
      <c r="E171" s="1170" t="s">
        <v>1498</v>
      </c>
      <c r="F171" s="1088" t="s">
        <v>1499</v>
      </c>
      <c r="G171" s="1088" t="s">
        <v>1499</v>
      </c>
      <c r="H171" s="1088" t="s">
        <v>1499</v>
      </c>
      <c r="I171" s="1088" t="s">
        <v>1499</v>
      </c>
      <c r="J171" s="1088" t="s">
        <v>1499</v>
      </c>
      <c r="K171" s="1172"/>
      <c r="L171" s="1088" t="s">
        <v>1499</v>
      </c>
      <c r="M171" s="1088" t="s">
        <v>520</v>
      </c>
      <c r="N171" s="1017">
        <v>40000</v>
      </c>
      <c r="O171" s="1044"/>
      <c r="P171" s="1044"/>
      <c r="Q171" s="1044"/>
      <c r="R171" s="1044"/>
      <c r="S171" s="1044"/>
      <c r="T171" s="1044"/>
    </row>
    <row r="172" spans="1:20" ht="112.5">
      <c r="A172" s="1120"/>
      <c r="B172" s="1088" t="s">
        <v>101</v>
      </c>
      <c r="C172" s="1073" t="s">
        <v>1339</v>
      </c>
      <c r="D172" s="1018" t="s">
        <v>1471</v>
      </c>
      <c r="E172" s="1170" t="s">
        <v>1500</v>
      </c>
      <c r="F172" s="1170" t="s">
        <v>1501</v>
      </c>
      <c r="G172" s="1170" t="s">
        <v>1502</v>
      </c>
      <c r="H172" s="1088">
        <v>5</v>
      </c>
      <c r="I172" s="1088" t="s">
        <v>1503</v>
      </c>
      <c r="J172" s="1088" t="s">
        <v>1491</v>
      </c>
      <c r="K172" s="1172"/>
      <c r="L172" s="1170" t="s">
        <v>1504</v>
      </c>
      <c r="M172" s="1088" t="s">
        <v>520</v>
      </c>
      <c r="N172" s="1017">
        <v>8000</v>
      </c>
      <c r="O172" s="1044"/>
      <c r="P172" s="1044"/>
      <c r="Q172" s="1044"/>
      <c r="R172" s="1044"/>
      <c r="S172" s="1044"/>
      <c r="T172" s="1044"/>
    </row>
    <row r="173" spans="1:20" ht="299.25">
      <c r="A173" s="1120"/>
      <c r="B173" s="1088" t="s">
        <v>45</v>
      </c>
      <c r="C173" s="1073" t="s">
        <v>1340</v>
      </c>
      <c r="D173" s="1018" t="s">
        <v>1471</v>
      </c>
      <c r="E173" s="1245" t="s">
        <v>1644</v>
      </c>
      <c r="F173" s="1245" t="s">
        <v>1645</v>
      </c>
      <c r="G173" s="1170" t="s">
        <v>322</v>
      </c>
      <c r="H173" s="1044"/>
      <c r="I173" s="1044"/>
      <c r="J173" s="1088" t="s">
        <v>1646</v>
      </c>
      <c r="K173" s="1044"/>
      <c r="L173" s="1044"/>
      <c r="M173" s="1088" t="s">
        <v>520</v>
      </c>
      <c r="N173" s="1017">
        <v>13200</v>
      </c>
      <c r="O173" s="1044"/>
      <c r="P173" s="1044"/>
      <c r="Q173" s="1044"/>
      <c r="R173" s="1044"/>
      <c r="S173" s="1044"/>
      <c r="T173" s="1044"/>
    </row>
    <row r="174" spans="1:20" ht="75">
      <c r="A174" s="1121"/>
      <c r="B174" s="1088" t="s">
        <v>89</v>
      </c>
      <c r="C174" s="1073" t="s">
        <v>1341</v>
      </c>
      <c r="D174" s="1018" t="s">
        <v>1471</v>
      </c>
      <c r="E174" s="1044"/>
      <c r="F174" s="1044"/>
      <c r="G174" s="1044"/>
      <c r="H174" s="1044"/>
      <c r="I174" s="1044"/>
      <c r="J174" s="1044"/>
      <c r="K174" s="1044"/>
      <c r="L174" s="1044"/>
      <c r="M174" s="1088" t="s">
        <v>520</v>
      </c>
      <c r="N174" s="1017">
        <v>28800</v>
      </c>
      <c r="O174" s="1044"/>
      <c r="P174" s="1044"/>
      <c r="Q174" s="1044"/>
      <c r="R174" s="1044"/>
      <c r="S174" s="1044"/>
      <c r="T174" s="1044"/>
    </row>
    <row r="175" spans="1:20" ht="56.25">
      <c r="A175" s="1120"/>
      <c r="B175" s="1088" t="s">
        <v>81</v>
      </c>
      <c r="C175" s="1073" t="s">
        <v>1342</v>
      </c>
      <c r="D175" s="1018" t="s">
        <v>1471</v>
      </c>
      <c r="E175" s="1215" t="s">
        <v>764</v>
      </c>
      <c r="F175" s="1216" t="s">
        <v>765</v>
      </c>
      <c r="G175" s="1216" t="s">
        <v>766</v>
      </c>
      <c r="H175" s="1217" t="s">
        <v>1555</v>
      </c>
      <c r="I175" s="1217" t="s">
        <v>768</v>
      </c>
      <c r="J175" s="1168" t="s">
        <v>57</v>
      </c>
      <c r="K175" s="1044"/>
      <c r="L175" s="1044"/>
      <c r="M175" s="1088" t="s">
        <v>520</v>
      </c>
      <c r="N175" s="1017">
        <v>19200</v>
      </c>
      <c r="O175" s="1044"/>
      <c r="P175" s="1044"/>
      <c r="Q175" s="1044"/>
      <c r="R175" s="1044"/>
      <c r="S175" s="1044"/>
      <c r="T175" s="1044"/>
    </row>
    <row r="176" spans="1:20" ht="150">
      <c r="A176" s="1120"/>
      <c r="B176" s="1088" t="s">
        <v>455</v>
      </c>
      <c r="C176" s="1073" t="s">
        <v>1343</v>
      </c>
      <c r="D176" s="1018" t="s">
        <v>1471</v>
      </c>
      <c r="E176" s="1215" t="s">
        <v>1581</v>
      </c>
      <c r="F176" s="1216" t="s">
        <v>34</v>
      </c>
      <c r="G176" s="1216" t="s">
        <v>1582</v>
      </c>
      <c r="H176" s="1044"/>
      <c r="I176" s="1044"/>
      <c r="J176" s="1044"/>
      <c r="K176" s="1044"/>
      <c r="L176" s="1044"/>
      <c r="M176" s="1088" t="s">
        <v>520</v>
      </c>
      <c r="N176" s="1017">
        <v>15000</v>
      </c>
      <c r="O176" s="1044"/>
      <c r="P176" s="1044"/>
      <c r="Q176" s="1044"/>
      <c r="R176" s="1044"/>
      <c r="S176" s="1044"/>
      <c r="T176" s="1044"/>
    </row>
    <row r="177" spans="1:20" ht="42">
      <c r="A177" s="1120"/>
      <c r="B177" s="1088"/>
      <c r="C177" s="987" t="s">
        <v>1416</v>
      </c>
      <c r="D177" s="1018" t="s">
        <v>1471</v>
      </c>
      <c r="E177" s="1044"/>
      <c r="F177" s="1044"/>
      <c r="G177" s="1044"/>
      <c r="H177" s="1044"/>
      <c r="I177" s="1044"/>
      <c r="J177" s="1044"/>
      <c r="K177" s="1044"/>
      <c r="L177" s="1044"/>
      <c r="M177" s="1088" t="s">
        <v>520</v>
      </c>
      <c r="N177" s="1092">
        <v>148000</v>
      </c>
      <c r="O177" s="1044"/>
      <c r="P177" s="1044"/>
      <c r="Q177" s="1044"/>
      <c r="R177" s="1044"/>
      <c r="S177" s="1044"/>
      <c r="T177" s="1044"/>
    </row>
    <row r="178" spans="1:20" ht="56.25">
      <c r="A178" s="1120"/>
      <c r="B178" s="1088" t="s">
        <v>1465</v>
      </c>
      <c r="C178" s="1073" t="s">
        <v>1344</v>
      </c>
      <c r="D178" s="1018" t="s">
        <v>1471</v>
      </c>
      <c r="E178" s="1044"/>
      <c r="F178" s="1044"/>
      <c r="G178" s="1044"/>
      <c r="H178" s="1044"/>
      <c r="I178" s="1044"/>
      <c r="J178" s="1044"/>
      <c r="K178" s="1044"/>
      <c r="L178" s="1044"/>
      <c r="M178" s="1088" t="s">
        <v>520</v>
      </c>
      <c r="N178" s="1017">
        <v>100000</v>
      </c>
      <c r="O178" s="1044"/>
      <c r="P178" s="1044"/>
      <c r="Q178" s="1044"/>
      <c r="R178" s="1044"/>
      <c r="S178" s="1044"/>
      <c r="T178" s="1044"/>
    </row>
    <row r="179" spans="1:20" ht="56.25">
      <c r="A179" s="1120"/>
      <c r="B179" s="1088" t="s">
        <v>1465</v>
      </c>
      <c r="C179" s="1073" t="s">
        <v>1345</v>
      </c>
      <c r="D179" s="1018" t="s">
        <v>1471</v>
      </c>
      <c r="E179" s="1044"/>
      <c r="F179" s="1044"/>
      <c r="G179" s="1044"/>
      <c r="H179" s="1044"/>
      <c r="I179" s="1044"/>
      <c r="J179" s="1044"/>
      <c r="K179" s="1044"/>
      <c r="L179" s="1044"/>
      <c r="M179" s="1088" t="s">
        <v>520</v>
      </c>
      <c r="N179" s="1017">
        <v>48000</v>
      </c>
      <c r="O179" s="1044"/>
      <c r="P179" s="1044"/>
      <c r="Q179" s="1044"/>
      <c r="R179" s="1044"/>
      <c r="S179" s="1044"/>
      <c r="T179" s="1044"/>
    </row>
    <row r="180" spans="1:20" s="1084" customFormat="1" ht="105">
      <c r="A180" s="1137"/>
      <c r="B180" s="1093"/>
      <c r="C180" s="1094" t="s">
        <v>1466</v>
      </c>
      <c r="D180" s="1412" t="s">
        <v>34</v>
      </c>
      <c r="E180" s="1093"/>
      <c r="F180" s="1093"/>
      <c r="G180" s="1093"/>
      <c r="H180" s="1093"/>
      <c r="I180" s="1093"/>
      <c r="J180" s="1093"/>
      <c r="K180" s="1093"/>
      <c r="L180" s="1093"/>
      <c r="M180" s="1093" t="s">
        <v>520</v>
      </c>
      <c r="N180" s="1096">
        <v>3950000</v>
      </c>
      <c r="O180" s="1093"/>
      <c r="P180" s="1093"/>
      <c r="Q180" s="1093"/>
      <c r="R180" s="1093"/>
      <c r="S180" s="1093"/>
      <c r="T180" s="1093"/>
    </row>
    <row r="181" spans="1:20" ht="37.5">
      <c r="A181" s="1138"/>
      <c r="B181" s="1093" t="s">
        <v>577</v>
      </c>
      <c r="C181" s="1097" t="s">
        <v>1346</v>
      </c>
      <c r="D181" s="1112" t="s">
        <v>34</v>
      </c>
      <c r="E181" s="1095"/>
      <c r="F181" s="1095"/>
      <c r="G181" s="1095"/>
      <c r="H181" s="1095"/>
      <c r="I181" s="1095"/>
      <c r="J181" s="1095"/>
      <c r="K181" s="1095"/>
      <c r="L181" s="1095"/>
      <c r="M181" s="1093" t="s">
        <v>520</v>
      </c>
      <c r="N181" s="1098">
        <v>500000</v>
      </c>
      <c r="O181" s="1095"/>
      <c r="P181" s="1095"/>
      <c r="Q181" s="1095"/>
      <c r="R181" s="1095"/>
      <c r="S181" s="1095"/>
      <c r="T181" s="1095"/>
    </row>
    <row r="182" spans="1:20" ht="37.5">
      <c r="A182" s="1138"/>
      <c r="B182" s="1093" t="s">
        <v>577</v>
      </c>
      <c r="C182" s="1097" t="s">
        <v>1347</v>
      </c>
      <c r="D182" s="1112" t="s">
        <v>39</v>
      </c>
      <c r="E182" s="1095"/>
      <c r="F182" s="1095"/>
      <c r="G182" s="1095"/>
      <c r="H182" s="1095"/>
      <c r="I182" s="1095"/>
      <c r="J182" s="1095"/>
      <c r="K182" s="1095"/>
      <c r="L182" s="1095"/>
      <c r="M182" s="1093" t="s">
        <v>520</v>
      </c>
      <c r="N182" s="1098">
        <v>100000</v>
      </c>
      <c r="O182" s="1095"/>
      <c r="P182" s="1095"/>
      <c r="Q182" s="1095"/>
      <c r="R182" s="1095"/>
      <c r="S182" s="1095"/>
      <c r="T182" s="1095"/>
    </row>
    <row r="183" spans="1:20" ht="37.5">
      <c r="A183" s="1138"/>
      <c r="B183" s="1093" t="s">
        <v>577</v>
      </c>
      <c r="C183" s="1097" t="s">
        <v>1348</v>
      </c>
      <c r="D183" s="1112" t="s">
        <v>34</v>
      </c>
      <c r="E183" s="1095"/>
      <c r="F183" s="1095"/>
      <c r="G183" s="1095"/>
      <c r="H183" s="1095"/>
      <c r="I183" s="1095"/>
      <c r="J183" s="1095"/>
      <c r="K183" s="1095"/>
      <c r="L183" s="1095"/>
      <c r="M183" s="1093" t="s">
        <v>520</v>
      </c>
      <c r="N183" s="1098">
        <v>1080000</v>
      </c>
      <c r="O183" s="1095"/>
      <c r="P183" s="1095"/>
      <c r="Q183" s="1095"/>
      <c r="R183" s="1095"/>
      <c r="S183" s="1095"/>
      <c r="T183" s="1095"/>
    </row>
    <row r="184" spans="1:20" ht="75">
      <c r="A184" s="1139"/>
      <c r="B184" s="1093" t="s">
        <v>1467</v>
      </c>
      <c r="C184" s="1097" t="s">
        <v>1349</v>
      </c>
      <c r="D184" s="1112" t="s">
        <v>39</v>
      </c>
      <c r="E184" s="1095"/>
      <c r="F184" s="1095"/>
      <c r="G184" s="1095"/>
      <c r="H184" s="1095"/>
      <c r="I184" s="1095"/>
      <c r="J184" s="1095"/>
      <c r="K184" s="1095"/>
      <c r="L184" s="1095"/>
      <c r="M184" s="1093" t="s">
        <v>520</v>
      </c>
      <c r="N184" s="1098">
        <v>80000</v>
      </c>
      <c r="O184" s="1095"/>
      <c r="P184" s="1095"/>
      <c r="Q184" s="1095"/>
      <c r="R184" s="1095"/>
      <c r="S184" s="1095"/>
      <c r="T184" s="1095"/>
    </row>
    <row r="185" spans="1:20" ht="131.25">
      <c r="A185" s="1138"/>
      <c r="B185" s="1093" t="s">
        <v>55</v>
      </c>
      <c r="C185" s="1097" t="s">
        <v>1350</v>
      </c>
      <c r="D185" s="1112" t="s">
        <v>34</v>
      </c>
      <c r="E185" s="1239" t="s">
        <v>618</v>
      </c>
      <c r="F185" s="1239" t="s">
        <v>817</v>
      </c>
      <c r="G185" s="1239" t="s">
        <v>1616</v>
      </c>
      <c r="H185" s="1239" t="s">
        <v>1617</v>
      </c>
      <c r="I185" s="1239" t="s">
        <v>819</v>
      </c>
      <c r="J185" s="1239" t="s">
        <v>1618</v>
      </c>
      <c r="K185" s="1240" t="s">
        <v>639</v>
      </c>
      <c r="L185" s="1095"/>
      <c r="M185" s="1093" t="s">
        <v>520</v>
      </c>
      <c r="N185" s="1098">
        <v>200000</v>
      </c>
      <c r="O185" s="1095"/>
      <c r="P185" s="1095"/>
      <c r="Q185" s="1095"/>
      <c r="R185" s="1095"/>
      <c r="S185" s="1095"/>
      <c r="T185" s="1095"/>
    </row>
    <row r="186" spans="1:20" ht="56.25">
      <c r="A186" s="1138"/>
      <c r="B186" s="1093" t="s">
        <v>55</v>
      </c>
      <c r="C186" s="1097" t="s">
        <v>1351</v>
      </c>
      <c r="D186" s="1112" t="s">
        <v>39</v>
      </c>
      <c r="E186" s="1241" t="s">
        <v>1619</v>
      </c>
      <c r="F186" s="1241" t="s">
        <v>1620</v>
      </c>
      <c r="G186" s="1242" t="s">
        <v>1621</v>
      </c>
      <c r="H186" s="1241" t="s">
        <v>1622</v>
      </c>
      <c r="I186" s="1242" t="s">
        <v>1623</v>
      </c>
      <c r="J186" s="1241" t="s">
        <v>1593</v>
      </c>
      <c r="K186" s="1095"/>
      <c r="L186" s="1095"/>
      <c r="M186" s="1093" t="s">
        <v>520</v>
      </c>
      <c r="N186" s="1098">
        <v>100000</v>
      </c>
      <c r="O186" s="1095"/>
      <c r="P186" s="1095"/>
      <c r="Q186" s="1095"/>
      <c r="R186" s="1095"/>
      <c r="S186" s="1095"/>
      <c r="T186" s="1095"/>
    </row>
    <row r="187" spans="1:20" ht="75">
      <c r="A187" s="1138"/>
      <c r="B187" s="1093"/>
      <c r="C187" s="1097" t="s">
        <v>1668</v>
      </c>
      <c r="D187" s="1112"/>
      <c r="E187" s="1241" t="s">
        <v>1624</v>
      </c>
      <c r="F187" s="1241" t="s">
        <v>1625</v>
      </c>
      <c r="G187" s="1242" t="s">
        <v>1626</v>
      </c>
      <c r="H187" s="1241" t="s">
        <v>1627</v>
      </c>
      <c r="I187" s="1242" t="s">
        <v>1623</v>
      </c>
      <c r="J187" s="1241" t="s">
        <v>1593</v>
      </c>
      <c r="K187" s="1095"/>
      <c r="L187" s="1095"/>
      <c r="M187" s="1093"/>
      <c r="N187" s="1098"/>
      <c r="O187" s="1095"/>
      <c r="P187" s="1095"/>
      <c r="Q187" s="1095"/>
      <c r="R187" s="1095"/>
      <c r="S187" s="1095"/>
      <c r="T187" s="1095"/>
    </row>
    <row r="188" spans="1:20" ht="75">
      <c r="A188" s="1138"/>
      <c r="B188" s="1093"/>
      <c r="C188" s="1097"/>
      <c r="D188" s="1112"/>
      <c r="E188" s="1241" t="s">
        <v>1628</v>
      </c>
      <c r="F188" s="1241" t="s">
        <v>1629</v>
      </c>
      <c r="G188" s="1242" t="s">
        <v>1630</v>
      </c>
      <c r="H188" s="1241" t="s">
        <v>1631</v>
      </c>
      <c r="I188" s="1242" t="s">
        <v>1623</v>
      </c>
      <c r="J188" s="1241" t="s">
        <v>1593</v>
      </c>
      <c r="K188" s="1095"/>
      <c r="L188" s="1095"/>
      <c r="M188" s="1093"/>
      <c r="N188" s="1098"/>
      <c r="O188" s="1095"/>
      <c r="P188" s="1095"/>
      <c r="Q188" s="1095"/>
      <c r="R188" s="1095"/>
      <c r="S188" s="1095"/>
      <c r="T188" s="1095"/>
    </row>
    <row r="189" spans="1:20" ht="131.25">
      <c r="A189" s="1138"/>
      <c r="B189" s="1093" t="s">
        <v>55</v>
      </c>
      <c r="C189" s="1097" t="s">
        <v>1352</v>
      </c>
      <c r="D189" s="1112" t="s">
        <v>34</v>
      </c>
      <c r="E189" s="1243" t="s">
        <v>1632</v>
      </c>
      <c r="F189" s="1243" t="s">
        <v>1633</v>
      </c>
      <c r="G189" s="1244" t="s">
        <v>1634</v>
      </c>
      <c r="H189" s="1244" t="s">
        <v>1635</v>
      </c>
      <c r="I189" s="1244" t="s">
        <v>1636</v>
      </c>
      <c r="J189" s="1244" t="s">
        <v>1593</v>
      </c>
      <c r="K189" s="1095"/>
      <c r="L189" s="1095"/>
      <c r="M189" s="1093" t="s">
        <v>520</v>
      </c>
      <c r="N189" s="1098">
        <v>10000</v>
      </c>
      <c r="O189" s="1095"/>
      <c r="P189" s="1095"/>
      <c r="Q189" s="1095"/>
      <c r="R189" s="1095"/>
      <c r="S189" s="1095"/>
      <c r="T189" s="1095"/>
    </row>
    <row r="190" spans="1:20" ht="131.25">
      <c r="A190" s="1138"/>
      <c r="B190" s="1093" t="s">
        <v>1467</v>
      </c>
      <c r="C190" s="1097" t="s">
        <v>1669</v>
      </c>
      <c r="D190" s="1112" t="s">
        <v>34</v>
      </c>
      <c r="E190" s="1095"/>
      <c r="F190" s="1095"/>
      <c r="G190" s="1095"/>
      <c r="H190" s="1095"/>
      <c r="I190" s="1095"/>
      <c r="J190" s="1095"/>
      <c r="K190" s="1095"/>
      <c r="L190" s="1095"/>
      <c r="M190" s="1093" t="s">
        <v>520</v>
      </c>
      <c r="N190" s="1098" t="s">
        <v>1375</v>
      </c>
      <c r="O190" s="1095"/>
      <c r="P190" s="1095"/>
      <c r="Q190" s="1095"/>
      <c r="R190" s="1095"/>
      <c r="S190" s="1095"/>
      <c r="T190" s="1095"/>
    </row>
    <row r="191" spans="1:20" ht="75">
      <c r="A191" s="1138"/>
      <c r="B191" s="1093" t="s">
        <v>55</v>
      </c>
      <c r="C191" s="1097" t="s">
        <v>1354</v>
      </c>
      <c r="D191" s="1112" t="s">
        <v>34</v>
      </c>
      <c r="E191" s="1244" t="s">
        <v>1637</v>
      </c>
      <c r="F191" s="1244" t="s">
        <v>1638</v>
      </c>
      <c r="G191" s="1244" t="s">
        <v>1639</v>
      </c>
      <c r="H191" s="1244" t="s">
        <v>1640</v>
      </c>
      <c r="I191" s="1244" t="s">
        <v>1641</v>
      </c>
      <c r="J191" s="1244" t="s">
        <v>1593</v>
      </c>
      <c r="K191" s="1095"/>
      <c r="L191" s="1095"/>
      <c r="M191" s="1093" t="s">
        <v>520</v>
      </c>
      <c r="N191" s="1098">
        <v>0</v>
      </c>
      <c r="O191" s="1095"/>
      <c r="P191" s="1095"/>
      <c r="Q191" s="1095"/>
      <c r="R191" s="1095"/>
      <c r="S191" s="1095"/>
      <c r="T191" s="1095"/>
    </row>
    <row r="192" spans="1:20" ht="37.5">
      <c r="A192" s="1138"/>
      <c r="B192" s="1093" t="s">
        <v>81</v>
      </c>
      <c r="C192" s="1097" t="s">
        <v>1355</v>
      </c>
      <c r="D192" s="1112" t="s">
        <v>34</v>
      </c>
      <c r="E192" s="1095"/>
      <c r="F192" s="1095"/>
      <c r="G192" s="1095"/>
      <c r="H192" s="1095"/>
      <c r="I192" s="1095"/>
      <c r="J192" s="1095"/>
      <c r="K192" s="1095"/>
      <c r="L192" s="1095"/>
      <c r="M192" s="1093" t="s">
        <v>520</v>
      </c>
      <c r="N192" s="1098">
        <v>20000</v>
      </c>
      <c r="O192" s="1095"/>
      <c r="P192" s="1095"/>
      <c r="Q192" s="1095"/>
      <c r="R192" s="1095"/>
      <c r="S192" s="1095"/>
      <c r="T192" s="1095"/>
    </row>
    <row r="193" spans="1:20" ht="300">
      <c r="A193" s="1138"/>
      <c r="B193" s="1093" t="s">
        <v>55</v>
      </c>
      <c r="C193" s="1097" t="s">
        <v>1356</v>
      </c>
      <c r="D193" s="1112" t="s">
        <v>34</v>
      </c>
      <c r="E193" s="1244" t="s">
        <v>1642</v>
      </c>
      <c r="F193" s="1244" t="s">
        <v>1643</v>
      </c>
      <c r="G193" s="1244" t="s">
        <v>1590</v>
      </c>
      <c r="H193" s="1244" t="s">
        <v>1591</v>
      </c>
      <c r="I193" s="1244" t="s">
        <v>1592</v>
      </c>
      <c r="J193" s="1244" t="s">
        <v>1593</v>
      </c>
      <c r="K193" s="1095"/>
      <c r="L193" s="1095"/>
      <c r="M193" s="1093" t="s">
        <v>520</v>
      </c>
      <c r="N193" s="1098">
        <v>20000</v>
      </c>
      <c r="O193" s="1095"/>
      <c r="P193" s="1095"/>
      <c r="Q193" s="1095"/>
      <c r="R193" s="1095"/>
      <c r="S193" s="1095"/>
      <c r="T193" s="1095"/>
    </row>
    <row r="194" spans="1:20" ht="56.25">
      <c r="A194" s="1138"/>
      <c r="B194" s="1093" t="s">
        <v>81</v>
      </c>
      <c r="C194" s="1097" t="s">
        <v>1357</v>
      </c>
      <c r="D194" s="1112" t="s">
        <v>34</v>
      </c>
      <c r="E194" s="1095"/>
      <c r="F194" s="1095"/>
      <c r="G194" s="1095"/>
      <c r="H194" s="1095"/>
      <c r="I194" s="1095"/>
      <c r="J194" s="1095"/>
      <c r="K194" s="1095"/>
      <c r="L194" s="1095"/>
      <c r="M194" s="1093" t="s">
        <v>520</v>
      </c>
      <c r="N194" s="1098">
        <v>710000</v>
      </c>
      <c r="O194" s="1095"/>
      <c r="P194" s="1095"/>
      <c r="Q194" s="1095"/>
      <c r="R194" s="1095"/>
      <c r="S194" s="1095"/>
      <c r="T194" s="1095"/>
    </row>
    <row r="195" spans="1:20" ht="75">
      <c r="A195" s="1139"/>
      <c r="B195" s="1093" t="s">
        <v>455</v>
      </c>
      <c r="C195" s="1097" t="s">
        <v>1358</v>
      </c>
      <c r="D195" s="1112" t="s">
        <v>34</v>
      </c>
      <c r="E195" s="1230" t="s">
        <v>1586</v>
      </c>
      <c r="F195" s="1230" t="s">
        <v>34</v>
      </c>
      <c r="G195" s="1230" t="s">
        <v>1587</v>
      </c>
      <c r="H195" s="1095"/>
      <c r="I195" s="1095"/>
      <c r="J195" s="1095"/>
      <c r="K195" s="1095"/>
      <c r="L195" s="1095"/>
      <c r="M195" s="1093" t="s">
        <v>520</v>
      </c>
      <c r="N195" s="1098">
        <v>250000</v>
      </c>
      <c r="O195" s="1095"/>
      <c r="P195" s="1095"/>
      <c r="Q195" s="1095"/>
      <c r="R195" s="1095"/>
      <c r="S195" s="1095"/>
      <c r="T195" s="1095"/>
    </row>
    <row r="196" spans="1:20" ht="56.25">
      <c r="A196" s="1138"/>
      <c r="B196" s="1093" t="s">
        <v>455</v>
      </c>
      <c r="C196" s="1097" t="s">
        <v>1359</v>
      </c>
      <c r="D196" s="1112" t="s">
        <v>34</v>
      </c>
      <c r="E196" s="1095"/>
      <c r="F196" s="1095"/>
      <c r="G196" s="1095"/>
      <c r="H196" s="1095"/>
      <c r="I196" s="1095"/>
      <c r="J196" s="1095"/>
      <c r="K196" s="1095"/>
      <c r="L196" s="1095"/>
      <c r="M196" s="1093" t="s">
        <v>520</v>
      </c>
      <c r="N196" s="1098">
        <v>300000</v>
      </c>
      <c r="O196" s="1095"/>
      <c r="P196" s="1095"/>
      <c r="Q196" s="1095"/>
      <c r="R196" s="1095"/>
      <c r="S196" s="1095"/>
      <c r="T196" s="1095"/>
    </row>
    <row r="197" spans="1:20" ht="37.5">
      <c r="A197" s="1138"/>
      <c r="B197" s="1093" t="s">
        <v>455</v>
      </c>
      <c r="C197" s="1097" t="s">
        <v>1360</v>
      </c>
      <c r="D197" s="1112" t="s">
        <v>34</v>
      </c>
      <c r="E197" s="1095"/>
      <c r="F197" s="1095"/>
      <c r="G197" s="1095"/>
      <c r="H197" s="1095"/>
      <c r="I197" s="1095"/>
      <c r="J197" s="1095"/>
      <c r="K197" s="1095"/>
      <c r="L197" s="1095"/>
      <c r="M197" s="1093" t="s">
        <v>520</v>
      </c>
      <c r="N197" s="1098">
        <v>100000</v>
      </c>
      <c r="O197" s="1095"/>
      <c r="P197" s="1095"/>
      <c r="Q197" s="1095"/>
      <c r="R197" s="1095"/>
      <c r="S197" s="1095"/>
      <c r="T197" s="1095"/>
    </row>
    <row r="198" spans="1:20" ht="38.25" thickBot="1">
      <c r="A198" s="1141"/>
      <c r="B198" s="1099" t="s">
        <v>577</v>
      </c>
      <c r="C198" s="1100" t="s">
        <v>1361</v>
      </c>
      <c r="D198" s="1147" t="s">
        <v>34</v>
      </c>
      <c r="E198" s="1101"/>
      <c r="F198" s="1101"/>
      <c r="G198" s="1101"/>
      <c r="H198" s="1101"/>
      <c r="I198" s="1101"/>
      <c r="J198" s="1101"/>
      <c r="K198" s="1101"/>
      <c r="L198" s="1101"/>
      <c r="M198" s="1093" t="s">
        <v>520</v>
      </c>
      <c r="N198" s="1102">
        <v>480000</v>
      </c>
      <c r="O198" s="1101"/>
      <c r="P198" s="1101"/>
      <c r="Q198" s="1101"/>
      <c r="R198" s="1101"/>
      <c r="S198" s="1101"/>
      <c r="T198" s="1101"/>
    </row>
    <row r="199" spans="1:20" ht="84.75" thickBot="1">
      <c r="A199" s="1103">
        <v>9</v>
      </c>
      <c r="B199" s="1104" t="s">
        <v>1467</v>
      </c>
      <c r="C199" s="1105" t="s">
        <v>1362</v>
      </c>
      <c r="D199" s="1146" t="s">
        <v>1472</v>
      </c>
      <c r="E199" s="1106"/>
      <c r="F199" s="1106"/>
      <c r="G199" s="1106"/>
      <c r="H199" s="1106"/>
      <c r="I199" s="1106"/>
      <c r="J199" s="1106"/>
      <c r="K199" s="1106"/>
      <c r="L199" s="1106"/>
      <c r="M199" s="1111" t="s">
        <v>1469</v>
      </c>
      <c r="N199" s="1107">
        <v>239800</v>
      </c>
      <c r="O199" s="1107"/>
      <c r="P199" s="1106"/>
      <c r="Q199" s="1106"/>
      <c r="R199" s="1106"/>
      <c r="S199" s="1106"/>
      <c r="T199" s="1106"/>
    </row>
    <row r="200" spans="1:20" ht="84.75" thickBot="1">
      <c r="A200" s="1103">
        <v>10</v>
      </c>
      <c r="B200" s="1104" t="s">
        <v>1467</v>
      </c>
      <c r="C200" s="1105" t="s">
        <v>1363</v>
      </c>
      <c r="D200" s="1145" t="s">
        <v>1473</v>
      </c>
      <c r="E200" s="1106"/>
      <c r="F200" s="1106"/>
      <c r="G200" s="1106"/>
      <c r="H200" s="1106"/>
      <c r="I200" s="1106"/>
      <c r="J200" s="1106"/>
      <c r="K200" s="1106"/>
      <c r="L200" s="1106"/>
      <c r="M200" s="1111" t="s">
        <v>1469</v>
      </c>
      <c r="N200" s="1107">
        <v>239800</v>
      </c>
      <c r="O200" s="1107"/>
      <c r="P200" s="1106"/>
      <c r="Q200" s="1106"/>
      <c r="R200" s="1106"/>
      <c r="S200" s="1106"/>
      <c r="T200" s="1106"/>
    </row>
    <row r="201" spans="1:20" ht="63.75" thickBot="1">
      <c r="A201" s="1103">
        <v>11</v>
      </c>
      <c r="B201" s="1104" t="s">
        <v>1467</v>
      </c>
      <c r="C201" s="1105" t="s">
        <v>1364</v>
      </c>
      <c r="D201" s="1145" t="s">
        <v>1474</v>
      </c>
      <c r="E201" s="1106"/>
      <c r="F201" s="1106"/>
      <c r="G201" s="1106"/>
      <c r="H201" s="1106"/>
      <c r="I201" s="1106"/>
      <c r="J201" s="1106"/>
      <c r="K201" s="1106"/>
      <c r="L201" s="1106"/>
      <c r="M201" s="1111" t="s">
        <v>1469</v>
      </c>
      <c r="N201" s="1107">
        <v>140700</v>
      </c>
      <c r="O201" s="1107"/>
      <c r="P201" s="1106"/>
      <c r="Q201" s="1106"/>
      <c r="R201" s="1106"/>
      <c r="S201" s="1106"/>
      <c r="T201" s="1106"/>
    </row>
    <row r="202" spans="1:20" ht="84.75" thickBot="1">
      <c r="A202" s="1103">
        <v>12</v>
      </c>
      <c r="B202" s="1104" t="s">
        <v>1467</v>
      </c>
      <c r="C202" s="1105" t="s">
        <v>1365</v>
      </c>
      <c r="D202" s="1145" t="s">
        <v>1475</v>
      </c>
      <c r="E202" s="1106"/>
      <c r="F202" s="1106"/>
      <c r="G202" s="1106"/>
      <c r="H202" s="1106"/>
      <c r="I202" s="1106"/>
      <c r="J202" s="1106"/>
      <c r="K202" s="1106"/>
      <c r="L202" s="1106"/>
      <c r="M202" s="1111" t="s">
        <v>1469</v>
      </c>
      <c r="N202" s="1107">
        <v>182500</v>
      </c>
      <c r="O202" s="1107"/>
      <c r="P202" s="1106"/>
      <c r="Q202" s="1106"/>
      <c r="R202" s="1106"/>
      <c r="S202" s="1106"/>
      <c r="T202" s="1106"/>
    </row>
    <row r="203" spans="1:20" s="1022" customFormat="1" ht="378.75" thickBot="1">
      <c r="A203" s="1105">
        <v>13</v>
      </c>
      <c r="B203" s="1246" t="s">
        <v>45</v>
      </c>
      <c r="C203" s="1105" t="s">
        <v>1366</v>
      </c>
      <c r="D203" s="1247" t="s">
        <v>1480</v>
      </c>
      <c r="E203" s="1248" t="s">
        <v>1647</v>
      </c>
      <c r="F203" s="1248" t="s">
        <v>1648</v>
      </c>
      <c r="G203" s="1248" t="s">
        <v>1649</v>
      </c>
      <c r="H203" s="1249"/>
      <c r="I203" s="1249"/>
      <c r="J203" s="1249" t="s">
        <v>1646</v>
      </c>
      <c r="K203" s="1249"/>
      <c r="L203" s="1249"/>
      <c r="M203" s="1249" t="s">
        <v>1469</v>
      </c>
      <c r="N203" s="1107">
        <f>80000/2</f>
        <v>40000</v>
      </c>
      <c r="O203" s="1107">
        <v>0</v>
      </c>
      <c r="P203" s="1249"/>
      <c r="Q203" s="1249"/>
      <c r="R203" s="1249"/>
      <c r="S203" s="1249"/>
      <c r="T203" s="1249"/>
    </row>
    <row r="204" spans="1:20" ht="132" thickBot="1">
      <c r="A204" s="1103">
        <v>14</v>
      </c>
      <c r="B204" s="1104" t="s">
        <v>81</v>
      </c>
      <c r="C204" s="1105" t="s">
        <v>1367</v>
      </c>
      <c r="D204" s="1145" t="s">
        <v>1481</v>
      </c>
      <c r="E204" s="1218" t="s">
        <v>1556</v>
      </c>
      <c r="F204" s="1218" t="s">
        <v>1557</v>
      </c>
      <c r="G204" s="1218" t="s">
        <v>1558</v>
      </c>
      <c r="H204" s="1218" t="s">
        <v>1559</v>
      </c>
      <c r="I204" s="1218" t="s">
        <v>1560</v>
      </c>
      <c r="J204" s="1219" t="s">
        <v>57</v>
      </c>
      <c r="K204" s="1106"/>
      <c r="L204" s="1106"/>
      <c r="M204" s="1111" t="s">
        <v>1469</v>
      </c>
      <c r="N204" s="1107">
        <f>135000/2</f>
        <v>67500</v>
      </c>
      <c r="O204" s="1107">
        <v>0</v>
      </c>
      <c r="P204" s="1106"/>
      <c r="Q204" s="1106"/>
      <c r="R204" s="1106"/>
      <c r="S204" s="1106"/>
      <c r="T204" s="1106"/>
    </row>
    <row r="205" spans="1:20" ht="169.5" thickBot="1">
      <c r="A205" s="1103">
        <v>15</v>
      </c>
      <c r="B205" s="1104" t="s">
        <v>81</v>
      </c>
      <c r="C205" s="1105" t="s">
        <v>1368</v>
      </c>
      <c r="D205" s="1145" t="s">
        <v>1482</v>
      </c>
      <c r="E205" s="1218" t="s">
        <v>1561</v>
      </c>
      <c r="F205" s="1218" t="s">
        <v>1562</v>
      </c>
      <c r="G205" s="1218" t="s">
        <v>1563</v>
      </c>
      <c r="H205" s="1218" t="s">
        <v>1564</v>
      </c>
      <c r="I205" s="1218" t="s">
        <v>1565</v>
      </c>
      <c r="J205" s="1219" t="s">
        <v>57</v>
      </c>
      <c r="K205" s="1106"/>
      <c r="L205" s="1106"/>
      <c r="M205" s="1111" t="s">
        <v>1469</v>
      </c>
      <c r="N205" s="1107">
        <f>142000/2</f>
        <v>71000</v>
      </c>
      <c r="O205" s="1107">
        <v>0</v>
      </c>
      <c r="P205" s="1106"/>
      <c r="Q205" s="1106"/>
      <c r="R205" s="1106"/>
      <c r="S205" s="1106"/>
      <c r="T205" s="1106"/>
    </row>
    <row r="206" spans="1:20" ht="188.25" thickBot="1">
      <c r="A206" s="1103">
        <v>16</v>
      </c>
      <c r="B206" s="1104" t="s">
        <v>81</v>
      </c>
      <c r="C206" s="1105" t="s">
        <v>1369</v>
      </c>
      <c r="D206" s="1145" t="s">
        <v>1483</v>
      </c>
      <c r="E206" s="1218" t="s">
        <v>1566</v>
      </c>
      <c r="F206" s="1218" t="s">
        <v>1567</v>
      </c>
      <c r="G206" s="1218" t="s">
        <v>1563</v>
      </c>
      <c r="H206" s="1218" t="s">
        <v>1568</v>
      </c>
      <c r="I206" s="1218" t="s">
        <v>1565</v>
      </c>
      <c r="J206" s="1219" t="s">
        <v>57</v>
      </c>
      <c r="K206" s="1106"/>
      <c r="L206" s="1106"/>
      <c r="M206" s="1111" t="s">
        <v>1469</v>
      </c>
      <c r="N206" s="1107">
        <f>89000/2</f>
        <v>44500</v>
      </c>
      <c r="O206" s="1107">
        <v>0</v>
      </c>
      <c r="P206" s="1106"/>
      <c r="Q206" s="1106"/>
      <c r="R206" s="1106"/>
      <c r="S206" s="1106"/>
      <c r="T206" s="1106"/>
    </row>
    <row r="207" spans="1:20" ht="84.75" thickBot="1">
      <c r="A207" s="1103">
        <v>17</v>
      </c>
      <c r="B207" s="1104" t="s">
        <v>89</v>
      </c>
      <c r="C207" s="1105" t="s">
        <v>1370</v>
      </c>
      <c r="D207" s="1145" t="s">
        <v>1484</v>
      </c>
      <c r="E207" s="1106"/>
      <c r="F207" s="1106"/>
      <c r="G207" s="1106"/>
      <c r="H207" s="1106"/>
      <c r="I207" s="1106"/>
      <c r="J207" s="1106"/>
      <c r="K207" s="1106"/>
      <c r="L207" s="1106"/>
      <c r="M207" s="1111" t="s">
        <v>1469</v>
      </c>
      <c r="N207" s="1107">
        <f>139000/2</f>
        <v>69500</v>
      </c>
      <c r="O207" s="1107">
        <v>0</v>
      </c>
      <c r="P207" s="1106"/>
      <c r="Q207" s="1106"/>
      <c r="R207" s="1106"/>
      <c r="S207" s="1106"/>
      <c r="T207" s="1106"/>
    </row>
    <row r="208" spans="1:20" s="1084" customFormat="1" ht="363" thickBot="1">
      <c r="A208" s="1103">
        <v>18</v>
      </c>
      <c r="B208" s="1104" t="s">
        <v>45</v>
      </c>
      <c r="C208" s="1105" t="s">
        <v>449</v>
      </c>
      <c r="D208" s="1145" t="s">
        <v>1485</v>
      </c>
      <c r="E208" s="1250" t="s">
        <v>1650</v>
      </c>
      <c r="F208" s="1250" t="s">
        <v>1651</v>
      </c>
      <c r="G208" s="1250" t="s">
        <v>1652</v>
      </c>
      <c r="H208" s="1111"/>
      <c r="I208" s="1111"/>
      <c r="J208" s="1111" t="s">
        <v>1646</v>
      </c>
      <c r="K208" s="1111"/>
      <c r="L208" s="1111"/>
      <c r="M208" s="1111" t="s">
        <v>1469</v>
      </c>
      <c r="N208" s="1107">
        <f>267200/2</f>
        <v>133600</v>
      </c>
      <c r="O208" s="1107">
        <v>0</v>
      </c>
      <c r="P208" s="1111"/>
      <c r="Q208" s="1111"/>
      <c r="R208" s="1111"/>
      <c r="S208" s="1111"/>
      <c r="T208" s="1111"/>
    </row>
    <row r="209" spans="1:20" ht="63.75" thickBot="1">
      <c r="A209" s="1103">
        <v>19</v>
      </c>
      <c r="B209" s="1104" t="s">
        <v>455</v>
      </c>
      <c r="C209" s="1105" t="s">
        <v>1371</v>
      </c>
      <c r="D209" s="1145" t="s">
        <v>1476</v>
      </c>
      <c r="E209" s="1106"/>
      <c r="F209" s="1106"/>
      <c r="G209" s="1106"/>
      <c r="H209" s="1106"/>
      <c r="I209" s="1106"/>
      <c r="J209" s="1106"/>
      <c r="K209" s="1106"/>
      <c r="L209" s="1106"/>
      <c r="M209" s="1111" t="s">
        <v>1469</v>
      </c>
      <c r="N209" s="1107">
        <f>87500/2</f>
        <v>43750</v>
      </c>
      <c r="O209" s="1107">
        <v>0</v>
      </c>
      <c r="P209" s="1106"/>
      <c r="Q209" s="1106"/>
      <c r="R209" s="1106"/>
      <c r="S209" s="1106"/>
      <c r="T209" s="1106"/>
    </row>
    <row r="210" spans="1:20" ht="42.75" thickBot="1">
      <c r="A210" s="1103">
        <v>20</v>
      </c>
      <c r="B210" s="1104" t="s">
        <v>455</v>
      </c>
      <c r="C210" s="1105" t="s">
        <v>1372</v>
      </c>
      <c r="D210" s="1145" t="s">
        <v>1477</v>
      </c>
      <c r="E210" s="1106"/>
      <c r="F210" s="1106"/>
      <c r="G210" s="1106"/>
      <c r="H210" s="1106"/>
      <c r="I210" s="1106"/>
      <c r="J210" s="1106"/>
      <c r="K210" s="1106"/>
      <c r="L210" s="1106"/>
      <c r="M210" s="1111" t="s">
        <v>1469</v>
      </c>
      <c r="N210" s="1107">
        <f>87000/2</f>
        <v>43500</v>
      </c>
      <c r="O210" s="1107">
        <v>0</v>
      </c>
      <c r="P210" s="1106"/>
      <c r="Q210" s="1106"/>
      <c r="R210" s="1106"/>
      <c r="S210" s="1106"/>
      <c r="T210" s="1106"/>
    </row>
    <row r="211" spans="1:20" ht="168.75" thickBot="1">
      <c r="A211" s="1103">
        <v>21</v>
      </c>
      <c r="B211" s="1104" t="s">
        <v>81</v>
      </c>
      <c r="C211" s="1105" t="s">
        <v>1373</v>
      </c>
      <c r="D211" s="1145" t="s">
        <v>1478</v>
      </c>
      <c r="E211" s="1224" t="s">
        <v>1569</v>
      </c>
      <c r="F211" s="1225" t="s">
        <v>1570</v>
      </c>
      <c r="G211" s="1224" t="s">
        <v>1571</v>
      </c>
      <c r="H211" s="1224" t="s">
        <v>1572</v>
      </c>
      <c r="I211" s="1224" t="s">
        <v>1573</v>
      </c>
      <c r="J211" s="1226" t="s">
        <v>57</v>
      </c>
      <c r="K211" s="1106"/>
      <c r="L211" s="1106"/>
      <c r="M211" s="1111" t="s">
        <v>1469</v>
      </c>
      <c r="N211" s="1107">
        <f>20000/2</f>
        <v>10000</v>
      </c>
      <c r="O211" s="1107">
        <v>0</v>
      </c>
      <c r="P211" s="1106"/>
      <c r="Q211" s="1106"/>
      <c r="R211" s="1106"/>
      <c r="S211" s="1106"/>
      <c r="T211" s="1106"/>
    </row>
    <row r="212" spans="1:20" ht="150.75" thickBot="1">
      <c r="A212" s="1220">
        <v>22</v>
      </c>
      <c r="B212" s="1221" t="s">
        <v>81</v>
      </c>
      <c r="C212" s="1222" t="s">
        <v>1374</v>
      </c>
      <c r="D212" s="1145" t="s">
        <v>1479</v>
      </c>
      <c r="E212" s="1227" t="s">
        <v>1574</v>
      </c>
      <c r="F212" s="1227" t="s">
        <v>1575</v>
      </c>
      <c r="G212" s="1227" t="s">
        <v>1576</v>
      </c>
      <c r="H212" s="1227" t="s">
        <v>1577</v>
      </c>
      <c r="I212" s="1227" t="s">
        <v>1578</v>
      </c>
      <c r="J212" s="1228" t="s">
        <v>57</v>
      </c>
      <c r="K212" s="1106"/>
      <c r="L212" s="1106"/>
      <c r="M212" s="1125" t="s">
        <v>1469</v>
      </c>
      <c r="N212" s="1223">
        <f>113100/2</f>
        <v>56550</v>
      </c>
      <c r="O212" s="1107">
        <v>0</v>
      </c>
      <c r="P212" s="1106"/>
      <c r="Q212" s="1106"/>
      <c r="R212" s="1106"/>
      <c r="S212" s="1106"/>
      <c r="T212" s="1106"/>
    </row>
    <row r="213" spans="1:20">
      <c r="A213" s="1045"/>
      <c r="C213" s="1046"/>
      <c r="D213" s="1047"/>
      <c r="N213" s="1048"/>
      <c r="O213" s="1048"/>
    </row>
    <row r="214" spans="1:20">
      <c r="A214" s="1045"/>
      <c r="C214" s="1046"/>
      <c r="D214" s="1047"/>
      <c r="N214" s="1048"/>
      <c r="O214" s="1048"/>
    </row>
    <row r="215" spans="1:20">
      <c r="A215" s="1045"/>
      <c r="C215" s="1046"/>
      <c r="D215" s="1047"/>
      <c r="N215" s="1048"/>
      <c r="O215" s="1048"/>
    </row>
    <row r="216" spans="1:20">
      <c r="A216" s="1045"/>
      <c r="C216" s="1046"/>
      <c r="D216" s="1047"/>
      <c r="N216" s="1048"/>
      <c r="O216" s="1048"/>
    </row>
    <row r="217" spans="1:20">
      <c r="A217" s="1045"/>
      <c r="C217" s="1046"/>
      <c r="D217" s="1047"/>
      <c r="N217" s="1048"/>
      <c r="O217" s="1048"/>
    </row>
    <row r="218" spans="1:20">
      <c r="A218" s="1045"/>
      <c r="C218" s="1046"/>
      <c r="D218" s="1047"/>
      <c r="N218" s="1048"/>
      <c r="O218" s="1048"/>
    </row>
    <row r="219" spans="1:20">
      <c r="A219" s="1045"/>
      <c r="C219" s="1046"/>
      <c r="D219" s="1047"/>
      <c r="N219" s="1048"/>
      <c r="O219" s="1048"/>
    </row>
    <row r="220" spans="1:20">
      <c r="A220" s="1045"/>
      <c r="C220" s="1046"/>
      <c r="D220" s="1047"/>
      <c r="N220" s="1048"/>
      <c r="O220" s="1048"/>
    </row>
    <row r="221" spans="1:20">
      <c r="A221" s="1045"/>
      <c r="C221" s="1046"/>
      <c r="D221" s="1047"/>
      <c r="N221" s="1048"/>
      <c r="O221" s="1048"/>
    </row>
    <row r="222" spans="1:20">
      <c r="A222" s="1045"/>
      <c r="C222" s="1046"/>
      <c r="D222" s="1047"/>
      <c r="N222" s="1048"/>
      <c r="O222" s="1048"/>
    </row>
    <row r="223" spans="1:20">
      <c r="A223" s="1045"/>
      <c r="C223" s="1046"/>
      <c r="D223" s="1047"/>
      <c r="N223" s="1048"/>
      <c r="O223" s="1048"/>
    </row>
    <row r="224" spans="1:20">
      <c r="A224" s="1045"/>
      <c r="C224" s="1046"/>
      <c r="D224" s="1047"/>
      <c r="N224" s="1048"/>
      <c r="O224" s="1048"/>
    </row>
    <row r="225" spans="1:15">
      <c r="A225" s="1045"/>
      <c r="C225" s="1046"/>
      <c r="D225" s="1047"/>
      <c r="N225" s="1048"/>
      <c r="O225" s="1048"/>
    </row>
    <row r="226" spans="1:15">
      <c r="A226" s="1045"/>
      <c r="C226" s="1046"/>
      <c r="D226" s="1047"/>
      <c r="N226" s="1048"/>
      <c r="O226" s="1048"/>
    </row>
    <row r="227" spans="1:15">
      <c r="A227" s="1045"/>
      <c r="C227" s="1046"/>
      <c r="D227" s="1047"/>
      <c r="N227" s="1048"/>
      <c r="O227" s="1048"/>
    </row>
    <row r="228" spans="1:15">
      <c r="A228" s="1045"/>
      <c r="C228" s="1046"/>
      <c r="D228" s="1047"/>
      <c r="N228" s="1048"/>
      <c r="O228" s="1048"/>
    </row>
    <row r="229" spans="1:15">
      <c r="A229" s="1045"/>
      <c r="C229" s="1046"/>
      <c r="D229" s="1047"/>
      <c r="N229" s="1048"/>
      <c r="O229" s="1048"/>
    </row>
    <row r="230" spans="1:15">
      <c r="A230" s="1045"/>
      <c r="C230" s="1046"/>
      <c r="D230" s="1047"/>
      <c r="N230" s="1048"/>
      <c r="O230" s="1048"/>
    </row>
    <row r="231" spans="1:15">
      <c r="A231" s="1045"/>
      <c r="C231" s="1046"/>
      <c r="D231" s="1047"/>
      <c r="N231" s="1048"/>
      <c r="O231" s="1048"/>
    </row>
    <row r="232" spans="1:15">
      <c r="A232" s="1045"/>
      <c r="C232" s="1046"/>
      <c r="D232" s="1047"/>
      <c r="N232" s="1048"/>
      <c r="O232" s="1048"/>
    </row>
    <row r="233" spans="1:15">
      <c r="A233" s="1045"/>
      <c r="C233" s="1046"/>
      <c r="D233" s="1047"/>
      <c r="N233" s="1048"/>
      <c r="O233" s="1048"/>
    </row>
    <row r="234" spans="1:15">
      <c r="A234" s="1045"/>
      <c r="C234" s="1046"/>
      <c r="D234" s="1047"/>
      <c r="N234" s="1048"/>
      <c r="O234" s="1048"/>
    </row>
    <row r="235" spans="1:15">
      <c r="A235" s="1045"/>
      <c r="C235" s="1046"/>
      <c r="D235" s="1047"/>
      <c r="N235" s="1048"/>
      <c r="O235" s="1048"/>
    </row>
    <row r="236" spans="1:15">
      <c r="A236" s="1045"/>
      <c r="C236" s="1046"/>
      <c r="D236" s="1047"/>
      <c r="N236" s="1048"/>
      <c r="O236" s="1048"/>
    </row>
    <row r="237" spans="1:15">
      <c r="A237" s="1045"/>
      <c r="C237" s="1046"/>
      <c r="D237" s="1047"/>
      <c r="N237" s="1048"/>
      <c r="O237" s="1048"/>
    </row>
    <row r="238" spans="1:15">
      <c r="A238" s="1045"/>
      <c r="C238" s="1046"/>
      <c r="D238" s="1047"/>
      <c r="N238" s="1048"/>
      <c r="O238" s="1048"/>
    </row>
    <row r="239" spans="1:15">
      <c r="A239" s="1045"/>
      <c r="C239" s="1046"/>
      <c r="D239" s="1047"/>
      <c r="N239" s="1048"/>
      <c r="O239" s="1048"/>
    </row>
    <row r="240" spans="1:15">
      <c r="A240" s="1045"/>
      <c r="C240" s="1046"/>
      <c r="D240" s="1047"/>
      <c r="N240" s="1048"/>
      <c r="O240" s="1048"/>
    </row>
    <row r="241" spans="1:15">
      <c r="A241" s="1045"/>
      <c r="C241" s="1046"/>
      <c r="D241" s="1047"/>
      <c r="N241" s="1048"/>
      <c r="O241" s="1048"/>
    </row>
    <row r="242" spans="1:15">
      <c r="A242" s="1045"/>
      <c r="C242" s="1046"/>
      <c r="D242" s="1047"/>
      <c r="N242" s="1048"/>
      <c r="O242" s="1048"/>
    </row>
    <row r="243" spans="1:15">
      <c r="A243" s="1045"/>
      <c r="C243" s="1046"/>
      <c r="D243" s="1047"/>
      <c r="N243" s="1048"/>
      <c r="O243" s="1048"/>
    </row>
    <row r="244" spans="1:15">
      <c r="A244" s="1045"/>
      <c r="C244" s="1046"/>
      <c r="D244" s="1047"/>
      <c r="N244" s="1048"/>
      <c r="O244" s="1048"/>
    </row>
    <row r="245" spans="1:15">
      <c r="A245" s="1045"/>
      <c r="C245" s="1046"/>
      <c r="D245" s="1047"/>
      <c r="N245" s="1048"/>
      <c r="O245" s="1048"/>
    </row>
    <row r="246" spans="1:15">
      <c r="A246" s="1045"/>
      <c r="C246" s="1046"/>
      <c r="D246" s="1047"/>
      <c r="N246" s="1048"/>
      <c r="O246" s="1048"/>
    </row>
    <row r="247" spans="1:15">
      <c r="A247" s="1045"/>
      <c r="C247" s="1046"/>
      <c r="D247" s="1047"/>
      <c r="N247" s="1048"/>
      <c r="O247" s="1048"/>
    </row>
    <row r="248" spans="1:15">
      <c r="A248" s="1045"/>
      <c r="C248" s="1046"/>
      <c r="D248" s="1047"/>
      <c r="N248" s="1048"/>
      <c r="O248" s="1048"/>
    </row>
    <row r="249" spans="1:15">
      <c r="A249" s="1045"/>
      <c r="C249" s="1046"/>
      <c r="D249" s="1047"/>
      <c r="N249" s="1048"/>
      <c r="O249" s="1048"/>
    </row>
    <row r="250" spans="1:15">
      <c r="A250" s="1045"/>
      <c r="C250" s="1046"/>
      <c r="D250" s="1047"/>
      <c r="N250" s="1048"/>
      <c r="O250" s="1048"/>
    </row>
    <row r="251" spans="1:15">
      <c r="A251" s="1045"/>
      <c r="C251" s="1046"/>
      <c r="D251" s="1047"/>
      <c r="N251" s="1048"/>
      <c r="O251" s="1048"/>
    </row>
    <row r="252" spans="1:15">
      <c r="A252" s="1045"/>
      <c r="C252" s="1046"/>
      <c r="D252" s="1047"/>
      <c r="N252" s="1048"/>
      <c r="O252" s="1048"/>
    </row>
    <row r="253" spans="1:15">
      <c r="A253" s="1045"/>
      <c r="C253" s="1046"/>
      <c r="D253" s="1047"/>
      <c r="N253" s="1048"/>
      <c r="O253" s="1048"/>
    </row>
    <row r="254" spans="1:15">
      <c r="A254" s="1045"/>
      <c r="C254" s="1046"/>
      <c r="D254" s="1047"/>
      <c r="N254" s="1048"/>
      <c r="O254" s="1048"/>
    </row>
    <row r="255" spans="1:15">
      <c r="A255" s="1045"/>
      <c r="C255" s="1046"/>
      <c r="D255" s="1047"/>
      <c r="N255" s="1048"/>
      <c r="O255" s="1048"/>
    </row>
    <row r="256" spans="1:15" ht="88.5">
      <c r="A256" s="1004">
        <v>23</v>
      </c>
      <c r="C256" s="988" t="s">
        <v>1417</v>
      </c>
      <c r="D256" s="1019"/>
      <c r="N256" s="999">
        <f>SUM(N257:N272)</f>
        <v>3950000</v>
      </c>
    </row>
    <row r="257" spans="1:14" ht="42">
      <c r="A257" s="989"/>
      <c r="C257" s="1008" t="s">
        <v>1346</v>
      </c>
      <c r="D257" s="1020"/>
      <c r="N257" s="998">
        <v>500000</v>
      </c>
    </row>
    <row r="258" spans="1:14" ht="42">
      <c r="A258" s="989"/>
      <c r="C258" s="1008" t="s">
        <v>1347</v>
      </c>
      <c r="D258" s="1020"/>
      <c r="N258" s="998">
        <v>100000</v>
      </c>
    </row>
    <row r="259" spans="1:14" ht="42">
      <c r="A259" s="989"/>
      <c r="C259" s="1008" t="s">
        <v>1348</v>
      </c>
      <c r="D259" s="1020"/>
      <c r="N259" s="998">
        <v>1080000</v>
      </c>
    </row>
    <row r="260" spans="1:14" ht="105">
      <c r="A260" s="989"/>
      <c r="C260" s="1008" t="s">
        <v>1349</v>
      </c>
      <c r="D260" s="1020"/>
      <c r="N260" s="998">
        <v>80000</v>
      </c>
    </row>
    <row r="261" spans="1:14" ht="42">
      <c r="A261" s="989"/>
      <c r="C261" s="1008" t="s">
        <v>1350</v>
      </c>
      <c r="D261" s="1020"/>
      <c r="N261" s="998">
        <v>200000</v>
      </c>
    </row>
    <row r="262" spans="1:14" ht="63">
      <c r="A262" s="989"/>
      <c r="C262" s="1008" t="s">
        <v>1351</v>
      </c>
      <c r="D262" s="1020"/>
      <c r="N262" s="998">
        <v>100000</v>
      </c>
    </row>
    <row r="263" spans="1:14" ht="63">
      <c r="A263" s="989"/>
      <c r="C263" s="1008" t="s">
        <v>1352</v>
      </c>
      <c r="D263" s="1020"/>
      <c r="N263" s="998">
        <v>10000</v>
      </c>
    </row>
    <row r="264" spans="1:14" ht="147">
      <c r="A264" s="989"/>
      <c r="C264" s="1008" t="s">
        <v>1353</v>
      </c>
      <c r="D264" s="1020"/>
      <c r="N264" s="998" t="s">
        <v>1375</v>
      </c>
    </row>
    <row r="265" spans="1:14" ht="84">
      <c r="A265" s="989"/>
      <c r="C265" s="1008" t="s">
        <v>1354</v>
      </c>
      <c r="D265" s="1020"/>
      <c r="N265" s="998">
        <v>0</v>
      </c>
    </row>
    <row r="266" spans="1:14" ht="42">
      <c r="A266" s="989"/>
      <c r="C266" s="1008" t="s">
        <v>1355</v>
      </c>
      <c r="D266" s="1020"/>
      <c r="N266" s="998">
        <v>20000</v>
      </c>
    </row>
    <row r="267" spans="1:14" ht="42">
      <c r="A267" s="989"/>
      <c r="C267" s="1008" t="s">
        <v>1356</v>
      </c>
      <c r="D267" s="1020"/>
      <c r="N267" s="998">
        <v>20000</v>
      </c>
    </row>
    <row r="268" spans="1:14" ht="63">
      <c r="A268" s="989"/>
      <c r="C268" s="1008" t="s">
        <v>1357</v>
      </c>
      <c r="D268" s="1020"/>
      <c r="N268" s="998">
        <v>710000</v>
      </c>
    </row>
    <row r="269" spans="1:14" ht="63">
      <c r="A269" s="989"/>
      <c r="C269" s="1008" t="s">
        <v>1358</v>
      </c>
      <c r="D269" s="1020"/>
      <c r="N269" s="998">
        <v>250000</v>
      </c>
    </row>
    <row r="270" spans="1:14" ht="63">
      <c r="A270" s="989"/>
      <c r="C270" s="1008" t="s">
        <v>1359</v>
      </c>
      <c r="D270" s="1020"/>
      <c r="N270" s="998">
        <v>300000</v>
      </c>
    </row>
    <row r="271" spans="1:14" ht="63">
      <c r="A271" s="989"/>
      <c r="C271" s="1008" t="s">
        <v>1360</v>
      </c>
      <c r="D271" s="1020"/>
      <c r="N271" s="998">
        <v>100000</v>
      </c>
    </row>
    <row r="272" spans="1:14" ht="42">
      <c r="A272" s="989"/>
      <c r="C272" s="1008" t="s">
        <v>1361</v>
      </c>
      <c r="D272" s="1020"/>
      <c r="N272" s="998">
        <v>480000</v>
      </c>
    </row>
    <row r="273" spans="1:14">
      <c r="A273" s="1045"/>
      <c r="C273" s="1046"/>
      <c r="D273" s="1047"/>
      <c r="N273" s="1048"/>
    </row>
    <row r="1048564" spans="13:13">
      <c r="M1048564" s="1088" t="s">
        <v>1469</v>
      </c>
    </row>
  </sheetData>
  <mergeCells count="76">
    <mergeCell ref="T3:T5"/>
    <mergeCell ref="A3:A5"/>
    <mergeCell ref="C3:C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B3:B5"/>
    <mergeCell ref="D3:D5"/>
    <mergeCell ref="O3:O5"/>
    <mergeCell ref="J9:J24"/>
    <mergeCell ref="E51:E58"/>
    <mergeCell ref="F51:F58"/>
    <mergeCell ref="R3:R5"/>
    <mergeCell ref="S3:S5"/>
    <mergeCell ref="P3:P5"/>
    <mergeCell ref="Q3:Q5"/>
    <mergeCell ref="E9:E24"/>
    <mergeCell ref="F9:F24"/>
    <mergeCell ref="H9:H24"/>
    <mergeCell ref="G9:G24"/>
    <mergeCell ref="I9:I24"/>
    <mergeCell ref="G51:G58"/>
    <mergeCell ref="H51:H58"/>
    <mergeCell ref="I51:I58"/>
    <mergeCell ref="J51:J58"/>
    <mergeCell ref="E95:E101"/>
    <mergeCell ref="F95:F101"/>
    <mergeCell ref="G95:G101"/>
    <mergeCell ref="H95:H101"/>
    <mergeCell ref="I95:I101"/>
    <mergeCell ref="J95:J101"/>
    <mergeCell ref="E59:E64"/>
    <mergeCell ref="F59:F64"/>
    <mergeCell ref="G59:G64"/>
    <mergeCell ref="H59:H64"/>
    <mergeCell ref="I59:I64"/>
    <mergeCell ref="K65:K70"/>
    <mergeCell ref="K95:K101"/>
    <mergeCell ref="L95:L101"/>
    <mergeCell ref="E102:E111"/>
    <mergeCell ref="F102:F111"/>
    <mergeCell ref="G102:G111"/>
    <mergeCell ref="H102:H111"/>
    <mergeCell ref="I102:I111"/>
    <mergeCell ref="J102:J111"/>
    <mergeCell ref="K102:K111"/>
    <mergeCell ref="L102:L111"/>
    <mergeCell ref="K75:K76"/>
    <mergeCell ref="H68:H70"/>
    <mergeCell ref="I65:I67"/>
    <mergeCell ref="I68:I70"/>
    <mergeCell ref="J65:J67"/>
    <mergeCell ref="J68:J70"/>
    <mergeCell ref="J131:J132"/>
    <mergeCell ref="L59:L64"/>
    <mergeCell ref="L65:L70"/>
    <mergeCell ref="H131:H132"/>
    <mergeCell ref="E131:E133"/>
    <mergeCell ref="F131:F133"/>
    <mergeCell ref="G131:G133"/>
    <mergeCell ref="I131:I132"/>
    <mergeCell ref="J59:J64"/>
    <mergeCell ref="K59:K64"/>
    <mergeCell ref="E65:E67"/>
    <mergeCell ref="F65:F67"/>
    <mergeCell ref="F68:F70"/>
    <mergeCell ref="G65:G67"/>
    <mergeCell ref="G68:G70"/>
    <mergeCell ref="H65:H67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8576"/>
  <sheetViews>
    <sheetView topLeftCell="A193" workbookViewId="0">
      <selection activeCell="D171" sqref="D171:D201"/>
    </sheetView>
  </sheetViews>
  <sheetFormatPr defaultColWidth="9" defaultRowHeight="18.75"/>
  <cols>
    <col min="1" max="1" width="5.875" style="1049" customWidth="1"/>
    <col min="2" max="2" width="11" style="1084" customWidth="1"/>
    <col min="3" max="3" width="31.25" style="1022" customWidth="1"/>
    <col min="4" max="4" width="11.375" style="1023" customWidth="1"/>
    <col min="5" max="5" width="14.625" style="1024" customWidth="1"/>
    <col min="6" max="6" width="15.25" style="1024" customWidth="1"/>
    <col min="7" max="7" width="12.625" style="1024" customWidth="1"/>
    <col min="8" max="8" width="10.75" style="1024" customWidth="1"/>
    <col min="9" max="9" width="8.125" style="1024" customWidth="1"/>
    <col min="10" max="10" width="11.125" style="1024" customWidth="1"/>
    <col min="11" max="11" width="10.75" style="1024" customWidth="1"/>
    <col min="12" max="12" width="11.125" style="1024" customWidth="1"/>
    <col min="13" max="13" width="12" style="1084" customWidth="1"/>
    <col min="14" max="14" width="13.625" style="1024" customWidth="1"/>
    <col min="15" max="15" width="11.375" style="1024" customWidth="1"/>
    <col min="16" max="16" width="11.25" style="1024" customWidth="1"/>
    <col min="17" max="17" width="11.75" style="1024" customWidth="1"/>
    <col min="18" max="18" width="11" style="1024" customWidth="1"/>
    <col min="19" max="20" width="13.625" style="1024" customWidth="1"/>
    <col min="21" max="246" width="9" style="1024"/>
    <col min="247" max="247" width="6.25" style="1024" customWidth="1"/>
    <col min="248" max="248" width="10.125" style="1024" customWidth="1"/>
    <col min="249" max="249" width="29.375" style="1024" customWidth="1"/>
    <col min="250" max="258" width="0" style="1024" hidden="1" customWidth="1"/>
    <col min="259" max="259" width="14.75" style="1024" customWidth="1"/>
    <col min="260" max="260" width="11" style="1024" customWidth="1"/>
    <col min="261" max="261" width="11.125" style="1024" customWidth="1"/>
    <col min="262" max="262" width="9.75" style="1024" customWidth="1"/>
    <col min="263" max="263" width="10.375" style="1024" customWidth="1"/>
    <col min="264" max="265" width="9.625" style="1024" customWidth="1"/>
    <col min="266" max="266" width="10.875" style="1024" customWidth="1"/>
    <col min="267" max="267" width="9.375" style="1024" customWidth="1"/>
    <col min="268" max="268" width="10.25" style="1024" customWidth="1"/>
    <col min="269" max="269" width="9.75" style="1024" customWidth="1"/>
    <col min="270" max="270" width="9.25" style="1024" customWidth="1"/>
    <col min="271" max="502" width="9" style="1024"/>
    <col min="503" max="503" width="6.25" style="1024" customWidth="1"/>
    <col min="504" max="504" width="10.125" style="1024" customWidth="1"/>
    <col min="505" max="505" width="29.375" style="1024" customWidth="1"/>
    <col min="506" max="514" width="0" style="1024" hidden="1" customWidth="1"/>
    <col min="515" max="515" width="14.75" style="1024" customWidth="1"/>
    <col min="516" max="516" width="11" style="1024" customWidth="1"/>
    <col min="517" max="517" width="11.125" style="1024" customWidth="1"/>
    <col min="518" max="518" width="9.75" style="1024" customWidth="1"/>
    <col min="519" max="519" width="10.375" style="1024" customWidth="1"/>
    <col min="520" max="521" width="9.625" style="1024" customWidth="1"/>
    <col min="522" max="522" width="10.875" style="1024" customWidth="1"/>
    <col min="523" max="523" width="9.375" style="1024" customWidth="1"/>
    <col min="524" max="524" width="10.25" style="1024" customWidth="1"/>
    <col min="525" max="525" width="9.75" style="1024" customWidth="1"/>
    <col min="526" max="526" width="9.25" style="1024" customWidth="1"/>
    <col min="527" max="758" width="9" style="1024"/>
    <col min="759" max="759" width="6.25" style="1024" customWidth="1"/>
    <col min="760" max="760" width="10.125" style="1024" customWidth="1"/>
    <col min="761" max="761" width="29.375" style="1024" customWidth="1"/>
    <col min="762" max="770" width="0" style="1024" hidden="1" customWidth="1"/>
    <col min="771" max="771" width="14.75" style="1024" customWidth="1"/>
    <col min="772" max="772" width="11" style="1024" customWidth="1"/>
    <col min="773" max="773" width="11.125" style="1024" customWidth="1"/>
    <col min="774" max="774" width="9.75" style="1024" customWidth="1"/>
    <col min="775" max="775" width="10.375" style="1024" customWidth="1"/>
    <col min="776" max="777" width="9.625" style="1024" customWidth="1"/>
    <col min="778" max="778" width="10.875" style="1024" customWidth="1"/>
    <col min="779" max="779" width="9.375" style="1024" customWidth="1"/>
    <col min="780" max="780" width="10.25" style="1024" customWidth="1"/>
    <col min="781" max="781" width="9.75" style="1024" customWidth="1"/>
    <col min="782" max="782" width="9.25" style="1024" customWidth="1"/>
    <col min="783" max="1014" width="9" style="1024"/>
    <col min="1015" max="1015" width="6.25" style="1024" customWidth="1"/>
    <col min="1016" max="1016" width="10.125" style="1024" customWidth="1"/>
    <col min="1017" max="1017" width="29.375" style="1024" customWidth="1"/>
    <col min="1018" max="1026" width="0" style="1024" hidden="1" customWidth="1"/>
    <col min="1027" max="1027" width="14.75" style="1024" customWidth="1"/>
    <col min="1028" max="1028" width="11" style="1024" customWidth="1"/>
    <col min="1029" max="1029" width="11.125" style="1024" customWidth="1"/>
    <col min="1030" max="1030" width="9.75" style="1024" customWidth="1"/>
    <col min="1031" max="1031" width="10.375" style="1024" customWidth="1"/>
    <col min="1032" max="1033" width="9.625" style="1024" customWidth="1"/>
    <col min="1034" max="1034" width="10.875" style="1024" customWidth="1"/>
    <col min="1035" max="1035" width="9.375" style="1024" customWidth="1"/>
    <col min="1036" max="1036" width="10.25" style="1024" customWidth="1"/>
    <col min="1037" max="1037" width="9.75" style="1024" customWidth="1"/>
    <col min="1038" max="1038" width="9.25" style="1024" customWidth="1"/>
    <col min="1039" max="1270" width="9" style="1024"/>
    <col min="1271" max="1271" width="6.25" style="1024" customWidth="1"/>
    <col min="1272" max="1272" width="10.125" style="1024" customWidth="1"/>
    <col min="1273" max="1273" width="29.375" style="1024" customWidth="1"/>
    <col min="1274" max="1282" width="0" style="1024" hidden="1" customWidth="1"/>
    <col min="1283" max="1283" width="14.75" style="1024" customWidth="1"/>
    <col min="1284" max="1284" width="11" style="1024" customWidth="1"/>
    <col min="1285" max="1285" width="11.125" style="1024" customWidth="1"/>
    <col min="1286" max="1286" width="9.75" style="1024" customWidth="1"/>
    <col min="1287" max="1287" width="10.375" style="1024" customWidth="1"/>
    <col min="1288" max="1289" width="9.625" style="1024" customWidth="1"/>
    <col min="1290" max="1290" width="10.875" style="1024" customWidth="1"/>
    <col min="1291" max="1291" width="9.375" style="1024" customWidth="1"/>
    <col min="1292" max="1292" width="10.25" style="1024" customWidth="1"/>
    <col min="1293" max="1293" width="9.75" style="1024" customWidth="1"/>
    <col min="1294" max="1294" width="9.25" style="1024" customWidth="1"/>
    <col min="1295" max="1526" width="9" style="1024"/>
    <col min="1527" max="1527" width="6.25" style="1024" customWidth="1"/>
    <col min="1528" max="1528" width="10.125" style="1024" customWidth="1"/>
    <col min="1529" max="1529" width="29.375" style="1024" customWidth="1"/>
    <col min="1530" max="1538" width="0" style="1024" hidden="1" customWidth="1"/>
    <col min="1539" max="1539" width="14.75" style="1024" customWidth="1"/>
    <col min="1540" max="1540" width="11" style="1024" customWidth="1"/>
    <col min="1541" max="1541" width="11.125" style="1024" customWidth="1"/>
    <col min="1542" max="1542" width="9.75" style="1024" customWidth="1"/>
    <col min="1543" max="1543" width="10.375" style="1024" customWidth="1"/>
    <col min="1544" max="1545" width="9.625" style="1024" customWidth="1"/>
    <col min="1546" max="1546" width="10.875" style="1024" customWidth="1"/>
    <col min="1547" max="1547" width="9.375" style="1024" customWidth="1"/>
    <col min="1548" max="1548" width="10.25" style="1024" customWidth="1"/>
    <col min="1549" max="1549" width="9.75" style="1024" customWidth="1"/>
    <col min="1550" max="1550" width="9.25" style="1024" customWidth="1"/>
    <col min="1551" max="1782" width="9" style="1024"/>
    <col min="1783" max="1783" width="6.25" style="1024" customWidth="1"/>
    <col min="1784" max="1784" width="10.125" style="1024" customWidth="1"/>
    <col min="1785" max="1785" width="29.375" style="1024" customWidth="1"/>
    <col min="1786" max="1794" width="0" style="1024" hidden="1" customWidth="1"/>
    <col min="1795" max="1795" width="14.75" style="1024" customWidth="1"/>
    <col min="1796" max="1796" width="11" style="1024" customWidth="1"/>
    <col min="1797" max="1797" width="11.125" style="1024" customWidth="1"/>
    <col min="1798" max="1798" width="9.75" style="1024" customWidth="1"/>
    <col min="1799" max="1799" width="10.375" style="1024" customWidth="1"/>
    <col min="1800" max="1801" width="9.625" style="1024" customWidth="1"/>
    <col min="1802" max="1802" width="10.875" style="1024" customWidth="1"/>
    <col min="1803" max="1803" width="9.375" style="1024" customWidth="1"/>
    <col min="1804" max="1804" width="10.25" style="1024" customWidth="1"/>
    <col min="1805" max="1805" width="9.75" style="1024" customWidth="1"/>
    <col min="1806" max="1806" width="9.25" style="1024" customWidth="1"/>
    <col min="1807" max="2038" width="9" style="1024"/>
    <col min="2039" max="2039" width="6.25" style="1024" customWidth="1"/>
    <col min="2040" max="2040" width="10.125" style="1024" customWidth="1"/>
    <col min="2041" max="2041" width="29.375" style="1024" customWidth="1"/>
    <col min="2042" max="2050" width="0" style="1024" hidden="1" customWidth="1"/>
    <col min="2051" max="2051" width="14.75" style="1024" customWidth="1"/>
    <col min="2052" max="2052" width="11" style="1024" customWidth="1"/>
    <col min="2053" max="2053" width="11.125" style="1024" customWidth="1"/>
    <col min="2054" max="2054" width="9.75" style="1024" customWidth="1"/>
    <col min="2055" max="2055" width="10.375" style="1024" customWidth="1"/>
    <col min="2056" max="2057" width="9.625" style="1024" customWidth="1"/>
    <col min="2058" max="2058" width="10.875" style="1024" customWidth="1"/>
    <col min="2059" max="2059" width="9.375" style="1024" customWidth="1"/>
    <col min="2060" max="2060" width="10.25" style="1024" customWidth="1"/>
    <col min="2061" max="2061" width="9.75" style="1024" customWidth="1"/>
    <col min="2062" max="2062" width="9.25" style="1024" customWidth="1"/>
    <col min="2063" max="2294" width="9" style="1024"/>
    <col min="2295" max="2295" width="6.25" style="1024" customWidth="1"/>
    <col min="2296" max="2296" width="10.125" style="1024" customWidth="1"/>
    <col min="2297" max="2297" width="29.375" style="1024" customWidth="1"/>
    <col min="2298" max="2306" width="0" style="1024" hidden="1" customWidth="1"/>
    <col min="2307" max="2307" width="14.75" style="1024" customWidth="1"/>
    <col min="2308" max="2308" width="11" style="1024" customWidth="1"/>
    <col min="2309" max="2309" width="11.125" style="1024" customWidth="1"/>
    <col min="2310" max="2310" width="9.75" style="1024" customWidth="1"/>
    <col min="2311" max="2311" width="10.375" style="1024" customWidth="1"/>
    <col min="2312" max="2313" width="9.625" style="1024" customWidth="1"/>
    <col min="2314" max="2314" width="10.875" style="1024" customWidth="1"/>
    <col min="2315" max="2315" width="9.375" style="1024" customWidth="1"/>
    <col min="2316" max="2316" width="10.25" style="1024" customWidth="1"/>
    <col min="2317" max="2317" width="9.75" style="1024" customWidth="1"/>
    <col min="2318" max="2318" width="9.25" style="1024" customWidth="1"/>
    <col min="2319" max="2550" width="9" style="1024"/>
    <col min="2551" max="2551" width="6.25" style="1024" customWidth="1"/>
    <col min="2552" max="2552" width="10.125" style="1024" customWidth="1"/>
    <col min="2553" max="2553" width="29.375" style="1024" customWidth="1"/>
    <col min="2554" max="2562" width="0" style="1024" hidden="1" customWidth="1"/>
    <col min="2563" max="2563" width="14.75" style="1024" customWidth="1"/>
    <col min="2564" max="2564" width="11" style="1024" customWidth="1"/>
    <col min="2565" max="2565" width="11.125" style="1024" customWidth="1"/>
    <col min="2566" max="2566" width="9.75" style="1024" customWidth="1"/>
    <col min="2567" max="2567" width="10.375" style="1024" customWidth="1"/>
    <col min="2568" max="2569" width="9.625" style="1024" customWidth="1"/>
    <col min="2570" max="2570" width="10.875" style="1024" customWidth="1"/>
    <col min="2571" max="2571" width="9.375" style="1024" customWidth="1"/>
    <col min="2572" max="2572" width="10.25" style="1024" customWidth="1"/>
    <col min="2573" max="2573" width="9.75" style="1024" customWidth="1"/>
    <col min="2574" max="2574" width="9.25" style="1024" customWidth="1"/>
    <col min="2575" max="2806" width="9" style="1024"/>
    <col min="2807" max="2807" width="6.25" style="1024" customWidth="1"/>
    <col min="2808" max="2808" width="10.125" style="1024" customWidth="1"/>
    <col min="2809" max="2809" width="29.375" style="1024" customWidth="1"/>
    <col min="2810" max="2818" width="0" style="1024" hidden="1" customWidth="1"/>
    <col min="2819" max="2819" width="14.75" style="1024" customWidth="1"/>
    <col min="2820" max="2820" width="11" style="1024" customWidth="1"/>
    <col min="2821" max="2821" width="11.125" style="1024" customWidth="1"/>
    <col min="2822" max="2822" width="9.75" style="1024" customWidth="1"/>
    <col min="2823" max="2823" width="10.375" style="1024" customWidth="1"/>
    <col min="2824" max="2825" width="9.625" style="1024" customWidth="1"/>
    <col min="2826" max="2826" width="10.875" style="1024" customWidth="1"/>
    <col min="2827" max="2827" width="9.375" style="1024" customWidth="1"/>
    <col min="2828" max="2828" width="10.25" style="1024" customWidth="1"/>
    <col min="2829" max="2829" width="9.75" style="1024" customWidth="1"/>
    <col min="2830" max="2830" width="9.25" style="1024" customWidth="1"/>
    <col min="2831" max="3062" width="9" style="1024"/>
    <col min="3063" max="3063" width="6.25" style="1024" customWidth="1"/>
    <col min="3064" max="3064" width="10.125" style="1024" customWidth="1"/>
    <col min="3065" max="3065" width="29.375" style="1024" customWidth="1"/>
    <col min="3066" max="3074" width="0" style="1024" hidden="1" customWidth="1"/>
    <col min="3075" max="3075" width="14.75" style="1024" customWidth="1"/>
    <col min="3076" max="3076" width="11" style="1024" customWidth="1"/>
    <col min="3077" max="3077" width="11.125" style="1024" customWidth="1"/>
    <col min="3078" max="3078" width="9.75" style="1024" customWidth="1"/>
    <col min="3079" max="3079" width="10.375" style="1024" customWidth="1"/>
    <col min="3080" max="3081" width="9.625" style="1024" customWidth="1"/>
    <col min="3082" max="3082" width="10.875" style="1024" customWidth="1"/>
    <col min="3083" max="3083" width="9.375" style="1024" customWidth="1"/>
    <col min="3084" max="3084" width="10.25" style="1024" customWidth="1"/>
    <col min="3085" max="3085" width="9.75" style="1024" customWidth="1"/>
    <col min="3086" max="3086" width="9.25" style="1024" customWidth="1"/>
    <col min="3087" max="3318" width="9" style="1024"/>
    <col min="3319" max="3319" width="6.25" style="1024" customWidth="1"/>
    <col min="3320" max="3320" width="10.125" style="1024" customWidth="1"/>
    <col min="3321" max="3321" width="29.375" style="1024" customWidth="1"/>
    <col min="3322" max="3330" width="0" style="1024" hidden="1" customWidth="1"/>
    <col min="3331" max="3331" width="14.75" style="1024" customWidth="1"/>
    <col min="3332" max="3332" width="11" style="1024" customWidth="1"/>
    <col min="3333" max="3333" width="11.125" style="1024" customWidth="1"/>
    <col min="3334" max="3334" width="9.75" style="1024" customWidth="1"/>
    <col min="3335" max="3335" width="10.375" style="1024" customWidth="1"/>
    <col min="3336" max="3337" width="9.625" style="1024" customWidth="1"/>
    <col min="3338" max="3338" width="10.875" style="1024" customWidth="1"/>
    <col min="3339" max="3339" width="9.375" style="1024" customWidth="1"/>
    <col min="3340" max="3340" width="10.25" style="1024" customWidth="1"/>
    <col min="3341" max="3341" width="9.75" style="1024" customWidth="1"/>
    <col min="3342" max="3342" width="9.25" style="1024" customWidth="1"/>
    <col min="3343" max="3574" width="9" style="1024"/>
    <col min="3575" max="3575" width="6.25" style="1024" customWidth="1"/>
    <col min="3576" max="3576" width="10.125" style="1024" customWidth="1"/>
    <col min="3577" max="3577" width="29.375" style="1024" customWidth="1"/>
    <col min="3578" max="3586" width="0" style="1024" hidden="1" customWidth="1"/>
    <col min="3587" max="3587" width="14.75" style="1024" customWidth="1"/>
    <col min="3588" max="3588" width="11" style="1024" customWidth="1"/>
    <col min="3589" max="3589" width="11.125" style="1024" customWidth="1"/>
    <col min="3590" max="3590" width="9.75" style="1024" customWidth="1"/>
    <col min="3591" max="3591" width="10.375" style="1024" customWidth="1"/>
    <col min="3592" max="3593" width="9.625" style="1024" customWidth="1"/>
    <col min="3594" max="3594" width="10.875" style="1024" customWidth="1"/>
    <col min="3595" max="3595" width="9.375" style="1024" customWidth="1"/>
    <col min="3596" max="3596" width="10.25" style="1024" customWidth="1"/>
    <col min="3597" max="3597" width="9.75" style="1024" customWidth="1"/>
    <col min="3598" max="3598" width="9.25" style="1024" customWidth="1"/>
    <col min="3599" max="3830" width="9" style="1024"/>
    <col min="3831" max="3831" width="6.25" style="1024" customWidth="1"/>
    <col min="3832" max="3832" width="10.125" style="1024" customWidth="1"/>
    <col min="3833" max="3833" width="29.375" style="1024" customWidth="1"/>
    <col min="3834" max="3842" width="0" style="1024" hidden="1" customWidth="1"/>
    <col min="3843" max="3843" width="14.75" style="1024" customWidth="1"/>
    <col min="3844" max="3844" width="11" style="1024" customWidth="1"/>
    <col min="3845" max="3845" width="11.125" style="1024" customWidth="1"/>
    <col min="3846" max="3846" width="9.75" style="1024" customWidth="1"/>
    <col min="3847" max="3847" width="10.375" style="1024" customWidth="1"/>
    <col min="3848" max="3849" width="9.625" style="1024" customWidth="1"/>
    <col min="3850" max="3850" width="10.875" style="1024" customWidth="1"/>
    <col min="3851" max="3851" width="9.375" style="1024" customWidth="1"/>
    <col min="3852" max="3852" width="10.25" style="1024" customWidth="1"/>
    <col min="3853" max="3853" width="9.75" style="1024" customWidth="1"/>
    <col min="3854" max="3854" width="9.25" style="1024" customWidth="1"/>
    <col min="3855" max="4086" width="9" style="1024"/>
    <col min="4087" max="4087" width="6.25" style="1024" customWidth="1"/>
    <col min="4088" max="4088" width="10.125" style="1024" customWidth="1"/>
    <col min="4089" max="4089" width="29.375" style="1024" customWidth="1"/>
    <col min="4090" max="4098" width="0" style="1024" hidden="1" customWidth="1"/>
    <col min="4099" max="4099" width="14.75" style="1024" customWidth="1"/>
    <col min="4100" max="4100" width="11" style="1024" customWidth="1"/>
    <col min="4101" max="4101" width="11.125" style="1024" customWidth="1"/>
    <col min="4102" max="4102" width="9.75" style="1024" customWidth="1"/>
    <col min="4103" max="4103" width="10.375" style="1024" customWidth="1"/>
    <col min="4104" max="4105" width="9.625" style="1024" customWidth="1"/>
    <col min="4106" max="4106" width="10.875" style="1024" customWidth="1"/>
    <col min="4107" max="4107" width="9.375" style="1024" customWidth="1"/>
    <col min="4108" max="4108" width="10.25" style="1024" customWidth="1"/>
    <col min="4109" max="4109" width="9.75" style="1024" customWidth="1"/>
    <col min="4110" max="4110" width="9.25" style="1024" customWidth="1"/>
    <col min="4111" max="4342" width="9" style="1024"/>
    <col min="4343" max="4343" width="6.25" style="1024" customWidth="1"/>
    <col min="4344" max="4344" width="10.125" style="1024" customWidth="1"/>
    <col min="4345" max="4345" width="29.375" style="1024" customWidth="1"/>
    <col min="4346" max="4354" width="0" style="1024" hidden="1" customWidth="1"/>
    <col min="4355" max="4355" width="14.75" style="1024" customWidth="1"/>
    <col min="4356" max="4356" width="11" style="1024" customWidth="1"/>
    <col min="4357" max="4357" width="11.125" style="1024" customWidth="1"/>
    <col min="4358" max="4358" width="9.75" style="1024" customWidth="1"/>
    <col min="4359" max="4359" width="10.375" style="1024" customWidth="1"/>
    <col min="4360" max="4361" width="9.625" style="1024" customWidth="1"/>
    <col min="4362" max="4362" width="10.875" style="1024" customWidth="1"/>
    <col min="4363" max="4363" width="9.375" style="1024" customWidth="1"/>
    <col min="4364" max="4364" width="10.25" style="1024" customWidth="1"/>
    <col min="4365" max="4365" width="9.75" style="1024" customWidth="1"/>
    <col min="4366" max="4366" width="9.25" style="1024" customWidth="1"/>
    <col min="4367" max="4598" width="9" style="1024"/>
    <col min="4599" max="4599" width="6.25" style="1024" customWidth="1"/>
    <col min="4600" max="4600" width="10.125" style="1024" customWidth="1"/>
    <col min="4601" max="4601" width="29.375" style="1024" customWidth="1"/>
    <col min="4602" max="4610" width="0" style="1024" hidden="1" customWidth="1"/>
    <col min="4611" max="4611" width="14.75" style="1024" customWidth="1"/>
    <col min="4612" max="4612" width="11" style="1024" customWidth="1"/>
    <col min="4613" max="4613" width="11.125" style="1024" customWidth="1"/>
    <col min="4614" max="4614" width="9.75" style="1024" customWidth="1"/>
    <col min="4615" max="4615" width="10.375" style="1024" customWidth="1"/>
    <col min="4616" max="4617" width="9.625" style="1024" customWidth="1"/>
    <col min="4618" max="4618" width="10.875" style="1024" customWidth="1"/>
    <col min="4619" max="4619" width="9.375" style="1024" customWidth="1"/>
    <col min="4620" max="4620" width="10.25" style="1024" customWidth="1"/>
    <col min="4621" max="4621" width="9.75" style="1024" customWidth="1"/>
    <col min="4622" max="4622" width="9.25" style="1024" customWidth="1"/>
    <col min="4623" max="4854" width="9" style="1024"/>
    <col min="4855" max="4855" width="6.25" style="1024" customWidth="1"/>
    <col min="4856" max="4856" width="10.125" style="1024" customWidth="1"/>
    <col min="4857" max="4857" width="29.375" style="1024" customWidth="1"/>
    <col min="4858" max="4866" width="0" style="1024" hidden="1" customWidth="1"/>
    <col min="4867" max="4867" width="14.75" style="1024" customWidth="1"/>
    <col min="4868" max="4868" width="11" style="1024" customWidth="1"/>
    <col min="4869" max="4869" width="11.125" style="1024" customWidth="1"/>
    <col min="4870" max="4870" width="9.75" style="1024" customWidth="1"/>
    <col min="4871" max="4871" width="10.375" style="1024" customWidth="1"/>
    <col min="4872" max="4873" width="9.625" style="1024" customWidth="1"/>
    <col min="4874" max="4874" width="10.875" style="1024" customWidth="1"/>
    <col min="4875" max="4875" width="9.375" style="1024" customWidth="1"/>
    <col min="4876" max="4876" width="10.25" style="1024" customWidth="1"/>
    <col min="4877" max="4877" width="9.75" style="1024" customWidth="1"/>
    <col min="4878" max="4878" width="9.25" style="1024" customWidth="1"/>
    <col min="4879" max="5110" width="9" style="1024"/>
    <col min="5111" max="5111" width="6.25" style="1024" customWidth="1"/>
    <col min="5112" max="5112" width="10.125" style="1024" customWidth="1"/>
    <col min="5113" max="5113" width="29.375" style="1024" customWidth="1"/>
    <col min="5114" max="5122" width="0" style="1024" hidden="1" customWidth="1"/>
    <col min="5123" max="5123" width="14.75" style="1024" customWidth="1"/>
    <col min="5124" max="5124" width="11" style="1024" customWidth="1"/>
    <col min="5125" max="5125" width="11.125" style="1024" customWidth="1"/>
    <col min="5126" max="5126" width="9.75" style="1024" customWidth="1"/>
    <col min="5127" max="5127" width="10.375" style="1024" customWidth="1"/>
    <col min="5128" max="5129" width="9.625" style="1024" customWidth="1"/>
    <col min="5130" max="5130" width="10.875" style="1024" customWidth="1"/>
    <col min="5131" max="5131" width="9.375" style="1024" customWidth="1"/>
    <col min="5132" max="5132" width="10.25" style="1024" customWidth="1"/>
    <col min="5133" max="5133" width="9.75" style="1024" customWidth="1"/>
    <col min="5134" max="5134" width="9.25" style="1024" customWidth="1"/>
    <col min="5135" max="5366" width="9" style="1024"/>
    <col min="5367" max="5367" width="6.25" style="1024" customWidth="1"/>
    <col min="5368" max="5368" width="10.125" style="1024" customWidth="1"/>
    <col min="5369" max="5369" width="29.375" style="1024" customWidth="1"/>
    <col min="5370" max="5378" width="0" style="1024" hidden="1" customWidth="1"/>
    <col min="5379" max="5379" width="14.75" style="1024" customWidth="1"/>
    <col min="5380" max="5380" width="11" style="1024" customWidth="1"/>
    <col min="5381" max="5381" width="11.125" style="1024" customWidth="1"/>
    <col min="5382" max="5382" width="9.75" style="1024" customWidth="1"/>
    <col min="5383" max="5383" width="10.375" style="1024" customWidth="1"/>
    <col min="5384" max="5385" width="9.625" style="1024" customWidth="1"/>
    <col min="5386" max="5386" width="10.875" style="1024" customWidth="1"/>
    <col min="5387" max="5387" width="9.375" style="1024" customWidth="1"/>
    <col min="5388" max="5388" width="10.25" style="1024" customWidth="1"/>
    <col min="5389" max="5389" width="9.75" style="1024" customWidth="1"/>
    <col min="5390" max="5390" width="9.25" style="1024" customWidth="1"/>
    <col min="5391" max="5622" width="9" style="1024"/>
    <col min="5623" max="5623" width="6.25" style="1024" customWidth="1"/>
    <col min="5624" max="5624" width="10.125" style="1024" customWidth="1"/>
    <col min="5625" max="5625" width="29.375" style="1024" customWidth="1"/>
    <col min="5626" max="5634" width="0" style="1024" hidden="1" customWidth="1"/>
    <col min="5635" max="5635" width="14.75" style="1024" customWidth="1"/>
    <col min="5636" max="5636" width="11" style="1024" customWidth="1"/>
    <col min="5637" max="5637" width="11.125" style="1024" customWidth="1"/>
    <col min="5638" max="5638" width="9.75" style="1024" customWidth="1"/>
    <col min="5639" max="5639" width="10.375" style="1024" customWidth="1"/>
    <col min="5640" max="5641" width="9.625" style="1024" customWidth="1"/>
    <col min="5642" max="5642" width="10.875" style="1024" customWidth="1"/>
    <col min="5643" max="5643" width="9.375" style="1024" customWidth="1"/>
    <col min="5644" max="5644" width="10.25" style="1024" customWidth="1"/>
    <col min="5645" max="5645" width="9.75" style="1024" customWidth="1"/>
    <col min="5646" max="5646" width="9.25" style="1024" customWidth="1"/>
    <col min="5647" max="5878" width="9" style="1024"/>
    <col min="5879" max="5879" width="6.25" style="1024" customWidth="1"/>
    <col min="5880" max="5880" width="10.125" style="1024" customWidth="1"/>
    <col min="5881" max="5881" width="29.375" style="1024" customWidth="1"/>
    <col min="5882" max="5890" width="0" style="1024" hidden="1" customWidth="1"/>
    <col min="5891" max="5891" width="14.75" style="1024" customWidth="1"/>
    <col min="5892" max="5892" width="11" style="1024" customWidth="1"/>
    <col min="5893" max="5893" width="11.125" style="1024" customWidth="1"/>
    <col min="5894" max="5894" width="9.75" style="1024" customWidth="1"/>
    <col min="5895" max="5895" width="10.375" style="1024" customWidth="1"/>
    <col min="5896" max="5897" width="9.625" style="1024" customWidth="1"/>
    <col min="5898" max="5898" width="10.875" style="1024" customWidth="1"/>
    <col min="5899" max="5899" width="9.375" style="1024" customWidth="1"/>
    <col min="5900" max="5900" width="10.25" style="1024" customWidth="1"/>
    <col min="5901" max="5901" width="9.75" style="1024" customWidth="1"/>
    <col min="5902" max="5902" width="9.25" style="1024" customWidth="1"/>
    <col min="5903" max="6134" width="9" style="1024"/>
    <col min="6135" max="6135" width="6.25" style="1024" customWidth="1"/>
    <col min="6136" max="6136" width="10.125" style="1024" customWidth="1"/>
    <col min="6137" max="6137" width="29.375" style="1024" customWidth="1"/>
    <col min="6138" max="6146" width="0" style="1024" hidden="1" customWidth="1"/>
    <col min="6147" max="6147" width="14.75" style="1024" customWidth="1"/>
    <col min="6148" max="6148" width="11" style="1024" customWidth="1"/>
    <col min="6149" max="6149" width="11.125" style="1024" customWidth="1"/>
    <col min="6150" max="6150" width="9.75" style="1024" customWidth="1"/>
    <col min="6151" max="6151" width="10.375" style="1024" customWidth="1"/>
    <col min="6152" max="6153" width="9.625" style="1024" customWidth="1"/>
    <col min="6154" max="6154" width="10.875" style="1024" customWidth="1"/>
    <col min="6155" max="6155" width="9.375" style="1024" customWidth="1"/>
    <col min="6156" max="6156" width="10.25" style="1024" customWidth="1"/>
    <col min="6157" max="6157" width="9.75" style="1024" customWidth="1"/>
    <col min="6158" max="6158" width="9.25" style="1024" customWidth="1"/>
    <col min="6159" max="6390" width="9" style="1024"/>
    <col min="6391" max="6391" width="6.25" style="1024" customWidth="1"/>
    <col min="6392" max="6392" width="10.125" style="1024" customWidth="1"/>
    <col min="6393" max="6393" width="29.375" style="1024" customWidth="1"/>
    <col min="6394" max="6402" width="0" style="1024" hidden="1" customWidth="1"/>
    <col min="6403" max="6403" width="14.75" style="1024" customWidth="1"/>
    <col min="6404" max="6404" width="11" style="1024" customWidth="1"/>
    <col min="6405" max="6405" width="11.125" style="1024" customWidth="1"/>
    <col min="6406" max="6406" width="9.75" style="1024" customWidth="1"/>
    <col min="6407" max="6407" width="10.375" style="1024" customWidth="1"/>
    <col min="6408" max="6409" width="9.625" style="1024" customWidth="1"/>
    <col min="6410" max="6410" width="10.875" style="1024" customWidth="1"/>
    <col min="6411" max="6411" width="9.375" style="1024" customWidth="1"/>
    <col min="6412" max="6412" width="10.25" style="1024" customWidth="1"/>
    <col min="6413" max="6413" width="9.75" style="1024" customWidth="1"/>
    <col min="6414" max="6414" width="9.25" style="1024" customWidth="1"/>
    <col min="6415" max="6646" width="9" style="1024"/>
    <col min="6647" max="6647" width="6.25" style="1024" customWidth="1"/>
    <col min="6648" max="6648" width="10.125" style="1024" customWidth="1"/>
    <col min="6649" max="6649" width="29.375" style="1024" customWidth="1"/>
    <col min="6650" max="6658" width="0" style="1024" hidden="1" customWidth="1"/>
    <col min="6659" max="6659" width="14.75" style="1024" customWidth="1"/>
    <col min="6660" max="6660" width="11" style="1024" customWidth="1"/>
    <col min="6661" max="6661" width="11.125" style="1024" customWidth="1"/>
    <col min="6662" max="6662" width="9.75" style="1024" customWidth="1"/>
    <col min="6663" max="6663" width="10.375" style="1024" customWidth="1"/>
    <col min="6664" max="6665" width="9.625" style="1024" customWidth="1"/>
    <col min="6666" max="6666" width="10.875" style="1024" customWidth="1"/>
    <col min="6667" max="6667" width="9.375" style="1024" customWidth="1"/>
    <col min="6668" max="6668" width="10.25" style="1024" customWidth="1"/>
    <col min="6669" max="6669" width="9.75" style="1024" customWidth="1"/>
    <col min="6670" max="6670" width="9.25" style="1024" customWidth="1"/>
    <col min="6671" max="6902" width="9" style="1024"/>
    <col min="6903" max="6903" width="6.25" style="1024" customWidth="1"/>
    <col min="6904" max="6904" width="10.125" style="1024" customWidth="1"/>
    <col min="6905" max="6905" width="29.375" style="1024" customWidth="1"/>
    <col min="6906" max="6914" width="0" style="1024" hidden="1" customWidth="1"/>
    <col min="6915" max="6915" width="14.75" style="1024" customWidth="1"/>
    <col min="6916" max="6916" width="11" style="1024" customWidth="1"/>
    <col min="6917" max="6917" width="11.125" style="1024" customWidth="1"/>
    <col min="6918" max="6918" width="9.75" style="1024" customWidth="1"/>
    <col min="6919" max="6919" width="10.375" style="1024" customWidth="1"/>
    <col min="6920" max="6921" width="9.625" style="1024" customWidth="1"/>
    <col min="6922" max="6922" width="10.875" style="1024" customWidth="1"/>
    <col min="6923" max="6923" width="9.375" style="1024" customWidth="1"/>
    <col min="6924" max="6924" width="10.25" style="1024" customWidth="1"/>
    <col min="6925" max="6925" width="9.75" style="1024" customWidth="1"/>
    <col min="6926" max="6926" width="9.25" style="1024" customWidth="1"/>
    <col min="6927" max="7158" width="9" style="1024"/>
    <col min="7159" max="7159" width="6.25" style="1024" customWidth="1"/>
    <col min="7160" max="7160" width="10.125" style="1024" customWidth="1"/>
    <col min="7161" max="7161" width="29.375" style="1024" customWidth="1"/>
    <col min="7162" max="7170" width="0" style="1024" hidden="1" customWidth="1"/>
    <col min="7171" max="7171" width="14.75" style="1024" customWidth="1"/>
    <col min="7172" max="7172" width="11" style="1024" customWidth="1"/>
    <col min="7173" max="7173" width="11.125" style="1024" customWidth="1"/>
    <col min="7174" max="7174" width="9.75" style="1024" customWidth="1"/>
    <col min="7175" max="7175" width="10.375" style="1024" customWidth="1"/>
    <col min="7176" max="7177" width="9.625" style="1024" customWidth="1"/>
    <col min="7178" max="7178" width="10.875" style="1024" customWidth="1"/>
    <col min="7179" max="7179" width="9.375" style="1024" customWidth="1"/>
    <col min="7180" max="7180" width="10.25" style="1024" customWidth="1"/>
    <col min="7181" max="7181" width="9.75" style="1024" customWidth="1"/>
    <col min="7182" max="7182" width="9.25" style="1024" customWidth="1"/>
    <col min="7183" max="7414" width="9" style="1024"/>
    <col min="7415" max="7415" width="6.25" style="1024" customWidth="1"/>
    <col min="7416" max="7416" width="10.125" style="1024" customWidth="1"/>
    <col min="7417" max="7417" width="29.375" style="1024" customWidth="1"/>
    <col min="7418" max="7426" width="0" style="1024" hidden="1" customWidth="1"/>
    <col min="7427" max="7427" width="14.75" style="1024" customWidth="1"/>
    <col min="7428" max="7428" width="11" style="1024" customWidth="1"/>
    <col min="7429" max="7429" width="11.125" style="1024" customWidth="1"/>
    <col min="7430" max="7430" width="9.75" style="1024" customWidth="1"/>
    <col min="7431" max="7431" width="10.375" style="1024" customWidth="1"/>
    <col min="7432" max="7433" width="9.625" style="1024" customWidth="1"/>
    <col min="7434" max="7434" width="10.875" style="1024" customWidth="1"/>
    <col min="7435" max="7435" width="9.375" style="1024" customWidth="1"/>
    <col min="7436" max="7436" width="10.25" style="1024" customWidth="1"/>
    <col min="7437" max="7437" width="9.75" style="1024" customWidth="1"/>
    <col min="7438" max="7438" width="9.25" style="1024" customWidth="1"/>
    <col min="7439" max="7670" width="9" style="1024"/>
    <col min="7671" max="7671" width="6.25" style="1024" customWidth="1"/>
    <col min="7672" max="7672" width="10.125" style="1024" customWidth="1"/>
    <col min="7673" max="7673" width="29.375" style="1024" customWidth="1"/>
    <col min="7674" max="7682" width="0" style="1024" hidden="1" customWidth="1"/>
    <col min="7683" max="7683" width="14.75" style="1024" customWidth="1"/>
    <col min="7684" max="7684" width="11" style="1024" customWidth="1"/>
    <col min="7685" max="7685" width="11.125" style="1024" customWidth="1"/>
    <col min="7686" max="7686" width="9.75" style="1024" customWidth="1"/>
    <col min="7687" max="7687" width="10.375" style="1024" customWidth="1"/>
    <col min="7688" max="7689" width="9.625" style="1024" customWidth="1"/>
    <col min="7690" max="7690" width="10.875" style="1024" customWidth="1"/>
    <col min="7691" max="7691" width="9.375" style="1024" customWidth="1"/>
    <col min="7692" max="7692" width="10.25" style="1024" customWidth="1"/>
    <col min="7693" max="7693" width="9.75" style="1024" customWidth="1"/>
    <col min="7694" max="7694" width="9.25" style="1024" customWidth="1"/>
    <col min="7695" max="7926" width="9" style="1024"/>
    <col min="7927" max="7927" width="6.25" style="1024" customWidth="1"/>
    <col min="7928" max="7928" width="10.125" style="1024" customWidth="1"/>
    <col min="7929" max="7929" width="29.375" style="1024" customWidth="1"/>
    <col min="7930" max="7938" width="0" style="1024" hidden="1" customWidth="1"/>
    <col min="7939" max="7939" width="14.75" style="1024" customWidth="1"/>
    <col min="7940" max="7940" width="11" style="1024" customWidth="1"/>
    <col min="7941" max="7941" width="11.125" style="1024" customWidth="1"/>
    <col min="7942" max="7942" width="9.75" style="1024" customWidth="1"/>
    <col min="7943" max="7943" width="10.375" style="1024" customWidth="1"/>
    <col min="7944" max="7945" width="9.625" style="1024" customWidth="1"/>
    <col min="7946" max="7946" width="10.875" style="1024" customWidth="1"/>
    <col min="7947" max="7947" width="9.375" style="1024" customWidth="1"/>
    <col min="7948" max="7948" width="10.25" style="1024" customWidth="1"/>
    <col min="7949" max="7949" width="9.75" style="1024" customWidth="1"/>
    <col min="7950" max="7950" width="9.25" style="1024" customWidth="1"/>
    <col min="7951" max="8182" width="9" style="1024"/>
    <col min="8183" max="8183" width="6.25" style="1024" customWidth="1"/>
    <col min="8184" max="8184" width="10.125" style="1024" customWidth="1"/>
    <col min="8185" max="8185" width="29.375" style="1024" customWidth="1"/>
    <col min="8186" max="8194" width="0" style="1024" hidden="1" customWidth="1"/>
    <col min="8195" max="8195" width="14.75" style="1024" customWidth="1"/>
    <col min="8196" max="8196" width="11" style="1024" customWidth="1"/>
    <col min="8197" max="8197" width="11.125" style="1024" customWidth="1"/>
    <col min="8198" max="8198" width="9.75" style="1024" customWidth="1"/>
    <col min="8199" max="8199" width="10.375" style="1024" customWidth="1"/>
    <col min="8200" max="8201" width="9.625" style="1024" customWidth="1"/>
    <col min="8202" max="8202" width="10.875" style="1024" customWidth="1"/>
    <col min="8203" max="8203" width="9.375" style="1024" customWidth="1"/>
    <col min="8204" max="8204" width="10.25" style="1024" customWidth="1"/>
    <col min="8205" max="8205" width="9.75" style="1024" customWidth="1"/>
    <col min="8206" max="8206" width="9.25" style="1024" customWidth="1"/>
    <col min="8207" max="8438" width="9" style="1024"/>
    <col min="8439" max="8439" width="6.25" style="1024" customWidth="1"/>
    <col min="8440" max="8440" width="10.125" style="1024" customWidth="1"/>
    <col min="8441" max="8441" width="29.375" style="1024" customWidth="1"/>
    <col min="8442" max="8450" width="0" style="1024" hidden="1" customWidth="1"/>
    <col min="8451" max="8451" width="14.75" style="1024" customWidth="1"/>
    <col min="8452" max="8452" width="11" style="1024" customWidth="1"/>
    <col min="8453" max="8453" width="11.125" style="1024" customWidth="1"/>
    <col min="8454" max="8454" width="9.75" style="1024" customWidth="1"/>
    <col min="8455" max="8455" width="10.375" style="1024" customWidth="1"/>
    <col min="8456" max="8457" width="9.625" style="1024" customWidth="1"/>
    <col min="8458" max="8458" width="10.875" style="1024" customWidth="1"/>
    <col min="8459" max="8459" width="9.375" style="1024" customWidth="1"/>
    <col min="8460" max="8460" width="10.25" style="1024" customWidth="1"/>
    <col min="8461" max="8461" width="9.75" style="1024" customWidth="1"/>
    <col min="8462" max="8462" width="9.25" style="1024" customWidth="1"/>
    <col min="8463" max="8694" width="9" style="1024"/>
    <col min="8695" max="8695" width="6.25" style="1024" customWidth="1"/>
    <col min="8696" max="8696" width="10.125" style="1024" customWidth="1"/>
    <col min="8697" max="8697" width="29.375" style="1024" customWidth="1"/>
    <col min="8698" max="8706" width="0" style="1024" hidden="1" customWidth="1"/>
    <col min="8707" max="8707" width="14.75" style="1024" customWidth="1"/>
    <col min="8708" max="8708" width="11" style="1024" customWidth="1"/>
    <col min="8709" max="8709" width="11.125" style="1024" customWidth="1"/>
    <col min="8710" max="8710" width="9.75" style="1024" customWidth="1"/>
    <col min="8711" max="8711" width="10.375" style="1024" customWidth="1"/>
    <col min="8712" max="8713" width="9.625" style="1024" customWidth="1"/>
    <col min="8714" max="8714" width="10.875" style="1024" customWidth="1"/>
    <col min="8715" max="8715" width="9.375" style="1024" customWidth="1"/>
    <col min="8716" max="8716" width="10.25" style="1024" customWidth="1"/>
    <col min="8717" max="8717" width="9.75" style="1024" customWidth="1"/>
    <col min="8718" max="8718" width="9.25" style="1024" customWidth="1"/>
    <col min="8719" max="8950" width="9" style="1024"/>
    <col min="8951" max="8951" width="6.25" style="1024" customWidth="1"/>
    <col min="8952" max="8952" width="10.125" style="1024" customWidth="1"/>
    <col min="8953" max="8953" width="29.375" style="1024" customWidth="1"/>
    <col min="8954" max="8962" width="0" style="1024" hidden="1" customWidth="1"/>
    <col min="8963" max="8963" width="14.75" style="1024" customWidth="1"/>
    <col min="8964" max="8964" width="11" style="1024" customWidth="1"/>
    <col min="8965" max="8965" width="11.125" style="1024" customWidth="1"/>
    <col min="8966" max="8966" width="9.75" style="1024" customWidth="1"/>
    <col min="8967" max="8967" width="10.375" style="1024" customWidth="1"/>
    <col min="8968" max="8969" width="9.625" style="1024" customWidth="1"/>
    <col min="8970" max="8970" width="10.875" style="1024" customWidth="1"/>
    <col min="8971" max="8971" width="9.375" style="1024" customWidth="1"/>
    <col min="8972" max="8972" width="10.25" style="1024" customWidth="1"/>
    <col min="8973" max="8973" width="9.75" style="1024" customWidth="1"/>
    <col min="8974" max="8974" width="9.25" style="1024" customWidth="1"/>
    <col min="8975" max="9206" width="9" style="1024"/>
    <col min="9207" max="9207" width="6.25" style="1024" customWidth="1"/>
    <col min="9208" max="9208" width="10.125" style="1024" customWidth="1"/>
    <col min="9209" max="9209" width="29.375" style="1024" customWidth="1"/>
    <col min="9210" max="9218" width="0" style="1024" hidden="1" customWidth="1"/>
    <col min="9219" max="9219" width="14.75" style="1024" customWidth="1"/>
    <col min="9220" max="9220" width="11" style="1024" customWidth="1"/>
    <col min="9221" max="9221" width="11.125" style="1024" customWidth="1"/>
    <col min="9222" max="9222" width="9.75" style="1024" customWidth="1"/>
    <col min="9223" max="9223" width="10.375" style="1024" customWidth="1"/>
    <col min="9224" max="9225" width="9.625" style="1024" customWidth="1"/>
    <col min="9226" max="9226" width="10.875" style="1024" customWidth="1"/>
    <col min="9227" max="9227" width="9.375" style="1024" customWidth="1"/>
    <col min="9228" max="9228" width="10.25" style="1024" customWidth="1"/>
    <col min="9229" max="9229" width="9.75" style="1024" customWidth="1"/>
    <col min="9230" max="9230" width="9.25" style="1024" customWidth="1"/>
    <col min="9231" max="9462" width="9" style="1024"/>
    <col min="9463" max="9463" width="6.25" style="1024" customWidth="1"/>
    <col min="9464" max="9464" width="10.125" style="1024" customWidth="1"/>
    <col min="9465" max="9465" width="29.375" style="1024" customWidth="1"/>
    <col min="9466" max="9474" width="0" style="1024" hidden="1" customWidth="1"/>
    <col min="9475" max="9475" width="14.75" style="1024" customWidth="1"/>
    <col min="9476" max="9476" width="11" style="1024" customWidth="1"/>
    <col min="9477" max="9477" width="11.125" style="1024" customWidth="1"/>
    <col min="9478" max="9478" width="9.75" style="1024" customWidth="1"/>
    <col min="9479" max="9479" width="10.375" style="1024" customWidth="1"/>
    <col min="9480" max="9481" width="9.625" style="1024" customWidth="1"/>
    <col min="9482" max="9482" width="10.875" style="1024" customWidth="1"/>
    <col min="9483" max="9483" width="9.375" style="1024" customWidth="1"/>
    <col min="9484" max="9484" width="10.25" style="1024" customWidth="1"/>
    <col min="9485" max="9485" width="9.75" style="1024" customWidth="1"/>
    <col min="9486" max="9486" width="9.25" style="1024" customWidth="1"/>
    <col min="9487" max="9718" width="9" style="1024"/>
    <col min="9719" max="9719" width="6.25" style="1024" customWidth="1"/>
    <col min="9720" max="9720" width="10.125" style="1024" customWidth="1"/>
    <col min="9721" max="9721" width="29.375" style="1024" customWidth="1"/>
    <col min="9722" max="9730" width="0" style="1024" hidden="1" customWidth="1"/>
    <col min="9731" max="9731" width="14.75" style="1024" customWidth="1"/>
    <col min="9732" max="9732" width="11" style="1024" customWidth="1"/>
    <col min="9733" max="9733" width="11.125" style="1024" customWidth="1"/>
    <col min="9734" max="9734" width="9.75" style="1024" customWidth="1"/>
    <col min="9735" max="9735" width="10.375" style="1024" customWidth="1"/>
    <col min="9736" max="9737" width="9.625" style="1024" customWidth="1"/>
    <col min="9738" max="9738" width="10.875" style="1024" customWidth="1"/>
    <col min="9739" max="9739" width="9.375" style="1024" customWidth="1"/>
    <col min="9740" max="9740" width="10.25" style="1024" customWidth="1"/>
    <col min="9741" max="9741" width="9.75" style="1024" customWidth="1"/>
    <col min="9742" max="9742" width="9.25" style="1024" customWidth="1"/>
    <col min="9743" max="9974" width="9" style="1024"/>
    <col min="9975" max="9975" width="6.25" style="1024" customWidth="1"/>
    <col min="9976" max="9976" width="10.125" style="1024" customWidth="1"/>
    <col min="9977" max="9977" width="29.375" style="1024" customWidth="1"/>
    <col min="9978" max="9986" width="0" style="1024" hidden="1" customWidth="1"/>
    <col min="9987" max="9987" width="14.75" style="1024" customWidth="1"/>
    <col min="9988" max="9988" width="11" style="1024" customWidth="1"/>
    <col min="9989" max="9989" width="11.125" style="1024" customWidth="1"/>
    <col min="9990" max="9990" width="9.75" style="1024" customWidth="1"/>
    <col min="9991" max="9991" width="10.375" style="1024" customWidth="1"/>
    <col min="9992" max="9993" width="9.625" style="1024" customWidth="1"/>
    <col min="9994" max="9994" width="10.875" style="1024" customWidth="1"/>
    <col min="9995" max="9995" width="9.375" style="1024" customWidth="1"/>
    <col min="9996" max="9996" width="10.25" style="1024" customWidth="1"/>
    <col min="9997" max="9997" width="9.75" style="1024" customWidth="1"/>
    <col min="9998" max="9998" width="9.25" style="1024" customWidth="1"/>
    <col min="9999" max="10230" width="9" style="1024"/>
    <col min="10231" max="10231" width="6.25" style="1024" customWidth="1"/>
    <col min="10232" max="10232" width="10.125" style="1024" customWidth="1"/>
    <col min="10233" max="10233" width="29.375" style="1024" customWidth="1"/>
    <col min="10234" max="10242" width="0" style="1024" hidden="1" customWidth="1"/>
    <col min="10243" max="10243" width="14.75" style="1024" customWidth="1"/>
    <col min="10244" max="10244" width="11" style="1024" customWidth="1"/>
    <col min="10245" max="10245" width="11.125" style="1024" customWidth="1"/>
    <col min="10246" max="10246" width="9.75" style="1024" customWidth="1"/>
    <col min="10247" max="10247" width="10.375" style="1024" customWidth="1"/>
    <col min="10248" max="10249" width="9.625" style="1024" customWidth="1"/>
    <col min="10250" max="10250" width="10.875" style="1024" customWidth="1"/>
    <col min="10251" max="10251" width="9.375" style="1024" customWidth="1"/>
    <col min="10252" max="10252" width="10.25" style="1024" customWidth="1"/>
    <col min="10253" max="10253" width="9.75" style="1024" customWidth="1"/>
    <col min="10254" max="10254" width="9.25" style="1024" customWidth="1"/>
    <col min="10255" max="10486" width="9" style="1024"/>
    <col min="10487" max="10487" width="6.25" style="1024" customWidth="1"/>
    <col min="10488" max="10488" width="10.125" style="1024" customWidth="1"/>
    <col min="10489" max="10489" width="29.375" style="1024" customWidth="1"/>
    <col min="10490" max="10498" width="0" style="1024" hidden="1" customWidth="1"/>
    <col min="10499" max="10499" width="14.75" style="1024" customWidth="1"/>
    <col min="10500" max="10500" width="11" style="1024" customWidth="1"/>
    <col min="10501" max="10501" width="11.125" style="1024" customWidth="1"/>
    <col min="10502" max="10502" width="9.75" style="1024" customWidth="1"/>
    <col min="10503" max="10503" width="10.375" style="1024" customWidth="1"/>
    <col min="10504" max="10505" width="9.625" style="1024" customWidth="1"/>
    <col min="10506" max="10506" width="10.875" style="1024" customWidth="1"/>
    <col min="10507" max="10507" width="9.375" style="1024" customWidth="1"/>
    <col min="10508" max="10508" width="10.25" style="1024" customWidth="1"/>
    <col min="10509" max="10509" width="9.75" style="1024" customWidth="1"/>
    <col min="10510" max="10510" width="9.25" style="1024" customWidth="1"/>
    <col min="10511" max="10742" width="9" style="1024"/>
    <col min="10743" max="10743" width="6.25" style="1024" customWidth="1"/>
    <col min="10744" max="10744" width="10.125" style="1024" customWidth="1"/>
    <col min="10745" max="10745" width="29.375" style="1024" customWidth="1"/>
    <col min="10746" max="10754" width="0" style="1024" hidden="1" customWidth="1"/>
    <col min="10755" max="10755" width="14.75" style="1024" customWidth="1"/>
    <col min="10756" max="10756" width="11" style="1024" customWidth="1"/>
    <col min="10757" max="10757" width="11.125" style="1024" customWidth="1"/>
    <col min="10758" max="10758" width="9.75" style="1024" customWidth="1"/>
    <col min="10759" max="10759" width="10.375" style="1024" customWidth="1"/>
    <col min="10760" max="10761" width="9.625" style="1024" customWidth="1"/>
    <col min="10762" max="10762" width="10.875" style="1024" customWidth="1"/>
    <col min="10763" max="10763" width="9.375" style="1024" customWidth="1"/>
    <col min="10764" max="10764" width="10.25" style="1024" customWidth="1"/>
    <col min="10765" max="10765" width="9.75" style="1024" customWidth="1"/>
    <col min="10766" max="10766" width="9.25" style="1024" customWidth="1"/>
    <col min="10767" max="10998" width="9" style="1024"/>
    <col min="10999" max="10999" width="6.25" style="1024" customWidth="1"/>
    <col min="11000" max="11000" width="10.125" style="1024" customWidth="1"/>
    <col min="11001" max="11001" width="29.375" style="1024" customWidth="1"/>
    <col min="11002" max="11010" width="0" style="1024" hidden="1" customWidth="1"/>
    <col min="11011" max="11011" width="14.75" style="1024" customWidth="1"/>
    <col min="11012" max="11012" width="11" style="1024" customWidth="1"/>
    <col min="11013" max="11013" width="11.125" style="1024" customWidth="1"/>
    <col min="11014" max="11014" width="9.75" style="1024" customWidth="1"/>
    <col min="11015" max="11015" width="10.375" style="1024" customWidth="1"/>
    <col min="11016" max="11017" width="9.625" style="1024" customWidth="1"/>
    <col min="11018" max="11018" width="10.875" style="1024" customWidth="1"/>
    <col min="11019" max="11019" width="9.375" style="1024" customWidth="1"/>
    <col min="11020" max="11020" width="10.25" style="1024" customWidth="1"/>
    <col min="11021" max="11021" width="9.75" style="1024" customWidth="1"/>
    <col min="11022" max="11022" width="9.25" style="1024" customWidth="1"/>
    <col min="11023" max="11254" width="9" style="1024"/>
    <col min="11255" max="11255" width="6.25" style="1024" customWidth="1"/>
    <col min="11256" max="11256" width="10.125" style="1024" customWidth="1"/>
    <col min="11257" max="11257" width="29.375" style="1024" customWidth="1"/>
    <col min="11258" max="11266" width="0" style="1024" hidden="1" customWidth="1"/>
    <col min="11267" max="11267" width="14.75" style="1024" customWidth="1"/>
    <col min="11268" max="11268" width="11" style="1024" customWidth="1"/>
    <col min="11269" max="11269" width="11.125" style="1024" customWidth="1"/>
    <col min="11270" max="11270" width="9.75" style="1024" customWidth="1"/>
    <col min="11271" max="11271" width="10.375" style="1024" customWidth="1"/>
    <col min="11272" max="11273" width="9.625" style="1024" customWidth="1"/>
    <col min="11274" max="11274" width="10.875" style="1024" customWidth="1"/>
    <col min="11275" max="11275" width="9.375" style="1024" customWidth="1"/>
    <col min="11276" max="11276" width="10.25" style="1024" customWidth="1"/>
    <col min="11277" max="11277" width="9.75" style="1024" customWidth="1"/>
    <col min="11278" max="11278" width="9.25" style="1024" customWidth="1"/>
    <col min="11279" max="11510" width="9" style="1024"/>
    <col min="11511" max="11511" width="6.25" style="1024" customWidth="1"/>
    <col min="11512" max="11512" width="10.125" style="1024" customWidth="1"/>
    <col min="11513" max="11513" width="29.375" style="1024" customWidth="1"/>
    <col min="11514" max="11522" width="0" style="1024" hidden="1" customWidth="1"/>
    <col min="11523" max="11523" width="14.75" style="1024" customWidth="1"/>
    <col min="11524" max="11524" width="11" style="1024" customWidth="1"/>
    <col min="11525" max="11525" width="11.125" style="1024" customWidth="1"/>
    <col min="11526" max="11526" width="9.75" style="1024" customWidth="1"/>
    <col min="11527" max="11527" width="10.375" style="1024" customWidth="1"/>
    <col min="11528" max="11529" width="9.625" style="1024" customWidth="1"/>
    <col min="11530" max="11530" width="10.875" style="1024" customWidth="1"/>
    <col min="11531" max="11531" width="9.375" style="1024" customWidth="1"/>
    <col min="11532" max="11532" width="10.25" style="1024" customWidth="1"/>
    <col min="11533" max="11533" width="9.75" style="1024" customWidth="1"/>
    <col min="11534" max="11534" width="9.25" style="1024" customWidth="1"/>
    <col min="11535" max="11766" width="9" style="1024"/>
    <col min="11767" max="11767" width="6.25" style="1024" customWidth="1"/>
    <col min="11768" max="11768" width="10.125" style="1024" customWidth="1"/>
    <col min="11769" max="11769" width="29.375" style="1024" customWidth="1"/>
    <col min="11770" max="11778" width="0" style="1024" hidden="1" customWidth="1"/>
    <col min="11779" max="11779" width="14.75" style="1024" customWidth="1"/>
    <col min="11780" max="11780" width="11" style="1024" customWidth="1"/>
    <col min="11781" max="11781" width="11.125" style="1024" customWidth="1"/>
    <col min="11782" max="11782" width="9.75" style="1024" customWidth="1"/>
    <col min="11783" max="11783" width="10.375" style="1024" customWidth="1"/>
    <col min="11784" max="11785" width="9.625" style="1024" customWidth="1"/>
    <col min="11786" max="11786" width="10.875" style="1024" customWidth="1"/>
    <col min="11787" max="11787" width="9.375" style="1024" customWidth="1"/>
    <col min="11788" max="11788" width="10.25" style="1024" customWidth="1"/>
    <col min="11789" max="11789" width="9.75" style="1024" customWidth="1"/>
    <col min="11790" max="11790" width="9.25" style="1024" customWidth="1"/>
    <col min="11791" max="12022" width="9" style="1024"/>
    <col min="12023" max="12023" width="6.25" style="1024" customWidth="1"/>
    <col min="12024" max="12024" width="10.125" style="1024" customWidth="1"/>
    <col min="12025" max="12025" width="29.375" style="1024" customWidth="1"/>
    <col min="12026" max="12034" width="0" style="1024" hidden="1" customWidth="1"/>
    <col min="12035" max="12035" width="14.75" style="1024" customWidth="1"/>
    <col min="12036" max="12036" width="11" style="1024" customWidth="1"/>
    <col min="12037" max="12037" width="11.125" style="1024" customWidth="1"/>
    <col min="12038" max="12038" width="9.75" style="1024" customWidth="1"/>
    <col min="12039" max="12039" width="10.375" style="1024" customWidth="1"/>
    <col min="12040" max="12041" width="9.625" style="1024" customWidth="1"/>
    <col min="12042" max="12042" width="10.875" style="1024" customWidth="1"/>
    <col min="12043" max="12043" width="9.375" style="1024" customWidth="1"/>
    <col min="12044" max="12044" width="10.25" style="1024" customWidth="1"/>
    <col min="12045" max="12045" width="9.75" style="1024" customWidth="1"/>
    <col min="12046" max="12046" width="9.25" style="1024" customWidth="1"/>
    <col min="12047" max="12278" width="9" style="1024"/>
    <col min="12279" max="12279" width="6.25" style="1024" customWidth="1"/>
    <col min="12280" max="12280" width="10.125" style="1024" customWidth="1"/>
    <col min="12281" max="12281" width="29.375" style="1024" customWidth="1"/>
    <col min="12282" max="12290" width="0" style="1024" hidden="1" customWidth="1"/>
    <col min="12291" max="12291" width="14.75" style="1024" customWidth="1"/>
    <col min="12292" max="12292" width="11" style="1024" customWidth="1"/>
    <col min="12293" max="12293" width="11.125" style="1024" customWidth="1"/>
    <col min="12294" max="12294" width="9.75" style="1024" customWidth="1"/>
    <col min="12295" max="12295" width="10.375" style="1024" customWidth="1"/>
    <col min="12296" max="12297" width="9.625" style="1024" customWidth="1"/>
    <col min="12298" max="12298" width="10.875" style="1024" customWidth="1"/>
    <col min="12299" max="12299" width="9.375" style="1024" customWidth="1"/>
    <col min="12300" max="12300" width="10.25" style="1024" customWidth="1"/>
    <col min="12301" max="12301" width="9.75" style="1024" customWidth="1"/>
    <col min="12302" max="12302" width="9.25" style="1024" customWidth="1"/>
    <col min="12303" max="12534" width="9" style="1024"/>
    <col min="12535" max="12535" width="6.25" style="1024" customWidth="1"/>
    <col min="12536" max="12536" width="10.125" style="1024" customWidth="1"/>
    <col min="12537" max="12537" width="29.375" style="1024" customWidth="1"/>
    <col min="12538" max="12546" width="0" style="1024" hidden="1" customWidth="1"/>
    <col min="12547" max="12547" width="14.75" style="1024" customWidth="1"/>
    <col min="12548" max="12548" width="11" style="1024" customWidth="1"/>
    <col min="12549" max="12549" width="11.125" style="1024" customWidth="1"/>
    <col min="12550" max="12550" width="9.75" style="1024" customWidth="1"/>
    <col min="12551" max="12551" width="10.375" style="1024" customWidth="1"/>
    <col min="12552" max="12553" width="9.625" style="1024" customWidth="1"/>
    <col min="12554" max="12554" width="10.875" style="1024" customWidth="1"/>
    <col min="12555" max="12555" width="9.375" style="1024" customWidth="1"/>
    <col min="12556" max="12556" width="10.25" style="1024" customWidth="1"/>
    <col min="12557" max="12557" width="9.75" style="1024" customWidth="1"/>
    <col min="12558" max="12558" width="9.25" style="1024" customWidth="1"/>
    <col min="12559" max="12790" width="9" style="1024"/>
    <col min="12791" max="12791" width="6.25" style="1024" customWidth="1"/>
    <col min="12792" max="12792" width="10.125" style="1024" customWidth="1"/>
    <col min="12793" max="12793" width="29.375" style="1024" customWidth="1"/>
    <col min="12794" max="12802" width="0" style="1024" hidden="1" customWidth="1"/>
    <col min="12803" max="12803" width="14.75" style="1024" customWidth="1"/>
    <col min="12804" max="12804" width="11" style="1024" customWidth="1"/>
    <col min="12805" max="12805" width="11.125" style="1024" customWidth="1"/>
    <col min="12806" max="12806" width="9.75" style="1024" customWidth="1"/>
    <col min="12807" max="12807" width="10.375" style="1024" customWidth="1"/>
    <col min="12808" max="12809" width="9.625" style="1024" customWidth="1"/>
    <col min="12810" max="12810" width="10.875" style="1024" customWidth="1"/>
    <col min="12811" max="12811" width="9.375" style="1024" customWidth="1"/>
    <col min="12812" max="12812" width="10.25" style="1024" customWidth="1"/>
    <col min="12813" max="12813" width="9.75" style="1024" customWidth="1"/>
    <col min="12814" max="12814" width="9.25" style="1024" customWidth="1"/>
    <col min="12815" max="13046" width="9" style="1024"/>
    <col min="13047" max="13047" width="6.25" style="1024" customWidth="1"/>
    <col min="13048" max="13048" width="10.125" style="1024" customWidth="1"/>
    <col min="13049" max="13049" width="29.375" style="1024" customWidth="1"/>
    <col min="13050" max="13058" width="0" style="1024" hidden="1" customWidth="1"/>
    <col min="13059" max="13059" width="14.75" style="1024" customWidth="1"/>
    <col min="13060" max="13060" width="11" style="1024" customWidth="1"/>
    <col min="13061" max="13061" width="11.125" style="1024" customWidth="1"/>
    <col min="13062" max="13062" width="9.75" style="1024" customWidth="1"/>
    <col min="13063" max="13063" width="10.375" style="1024" customWidth="1"/>
    <col min="13064" max="13065" width="9.625" style="1024" customWidth="1"/>
    <col min="13066" max="13066" width="10.875" style="1024" customWidth="1"/>
    <col min="13067" max="13067" width="9.375" style="1024" customWidth="1"/>
    <col min="13068" max="13068" width="10.25" style="1024" customWidth="1"/>
    <col min="13069" max="13069" width="9.75" style="1024" customWidth="1"/>
    <col min="13070" max="13070" width="9.25" style="1024" customWidth="1"/>
    <col min="13071" max="13302" width="9" style="1024"/>
    <col min="13303" max="13303" width="6.25" style="1024" customWidth="1"/>
    <col min="13304" max="13304" width="10.125" style="1024" customWidth="1"/>
    <col min="13305" max="13305" width="29.375" style="1024" customWidth="1"/>
    <col min="13306" max="13314" width="0" style="1024" hidden="1" customWidth="1"/>
    <col min="13315" max="13315" width="14.75" style="1024" customWidth="1"/>
    <col min="13316" max="13316" width="11" style="1024" customWidth="1"/>
    <col min="13317" max="13317" width="11.125" style="1024" customWidth="1"/>
    <col min="13318" max="13318" width="9.75" style="1024" customWidth="1"/>
    <col min="13319" max="13319" width="10.375" style="1024" customWidth="1"/>
    <col min="13320" max="13321" width="9.625" style="1024" customWidth="1"/>
    <col min="13322" max="13322" width="10.875" style="1024" customWidth="1"/>
    <col min="13323" max="13323" width="9.375" style="1024" customWidth="1"/>
    <col min="13324" max="13324" width="10.25" style="1024" customWidth="1"/>
    <col min="13325" max="13325" width="9.75" style="1024" customWidth="1"/>
    <col min="13326" max="13326" width="9.25" style="1024" customWidth="1"/>
    <col min="13327" max="13558" width="9" style="1024"/>
    <col min="13559" max="13559" width="6.25" style="1024" customWidth="1"/>
    <col min="13560" max="13560" width="10.125" style="1024" customWidth="1"/>
    <col min="13561" max="13561" width="29.375" style="1024" customWidth="1"/>
    <col min="13562" max="13570" width="0" style="1024" hidden="1" customWidth="1"/>
    <col min="13571" max="13571" width="14.75" style="1024" customWidth="1"/>
    <col min="13572" max="13572" width="11" style="1024" customWidth="1"/>
    <col min="13573" max="13573" width="11.125" style="1024" customWidth="1"/>
    <col min="13574" max="13574" width="9.75" style="1024" customWidth="1"/>
    <col min="13575" max="13575" width="10.375" style="1024" customWidth="1"/>
    <col min="13576" max="13577" width="9.625" style="1024" customWidth="1"/>
    <col min="13578" max="13578" width="10.875" style="1024" customWidth="1"/>
    <col min="13579" max="13579" width="9.375" style="1024" customWidth="1"/>
    <col min="13580" max="13580" width="10.25" style="1024" customWidth="1"/>
    <col min="13581" max="13581" width="9.75" style="1024" customWidth="1"/>
    <col min="13582" max="13582" width="9.25" style="1024" customWidth="1"/>
    <col min="13583" max="13814" width="9" style="1024"/>
    <col min="13815" max="13815" width="6.25" style="1024" customWidth="1"/>
    <col min="13816" max="13816" width="10.125" style="1024" customWidth="1"/>
    <col min="13817" max="13817" width="29.375" style="1024" customWidth="1"/>
    <col min="13818" max="13826" width="0" style="1024" hidden="1" customWidth="1"/>
    <col min="13827" max="13827" width="14.75" style="1024" customWidth="1"/>
    <col min="13828" max="13828" width="11" style="1024" customWidth="1"/>
    <col min="13829" max="13829" width="11.125" style="1024" customWidth="1"/>
    <col min="13830" max="13830" width="9.75" style="1024" customWidth="1"/>
    <col min="13831" max="13831" width="10.375" style="1024" customWidth="1"/>
    <col min="13832" max="13833" width="9.625" style="1024" customWidth="1"/>
    <col min="13834" max="13834" width="10.875" style="1024" customWidth="1"/>
    <col min="13835" max="13835" width="9.375" style="1024" customWidth="1"/>
    <col min="13836" max="13836" width="10.25" style="1024" customWidth="1"/>
    <col min="13837" max="13837" width="9.75" style="1024" customWidth="1"/>
    <col min="13838" max="13838" width="9.25" style="1024" customWidth="1"/>
    <col min="13839" max="14070" width="9" style="1024"/>
    <col min="14071" max="14071" width="6.25" style="1024" customWidth="1"/>
    <col min="14072" max="14072" width="10.125" style="1024" customWidth="1"/>
    <col min="14073" max="14073" width="29.375" style="1024" customWidth="1"/>
    <col min="14074" max="14082" width="0" style="1024" hidden="1" customWidth="1"/>
    <col min="14083" max="14083" width="14.75" style="1024" customWidth="1"/>
    <col min="14084" max="14084" width="11" style="1024" customWidth="1"/>
    <col min="14085" max="14085" width="11.125" style="1024" customWidth="1"/>
    <col min="14086" max="14086" width="9.75" style="1024" customWidth="1"/>
    <col min="14087" max="14087" width="10.375" style="1024" customWidth="1"/>
    <col min="14088" max="14089" width="9.625" style="1024" customWidth="1"/>
    <col min="14090" max="14090" width="10.875" style="1024" customWidth="1"/>
    <col min="14091" max="14091" width="9.375" style="1024" customWidth="1"/>
    <col min="14092" max="14092" width="10.25" style="1024" customWidth="1"/>
    <col min="14093" max="14093" width="9.75" style="1024" customWidth="1"/>
    <col min="14094" max="14094" width="9.25" style="1024" customWidth="1"/>
    <col min="14095" max="14326" width="9" style="1024"/>
    <col min="14327" max="14327" width="6.25" style="1024" customWidth="1"/>
    <col min="14328" max="14328" width="10.125" style="1024" customWidth="1"/>
    <col min="14329" max="14329" width="29.375" style="1024" customWidth="1"/>
    <col min="14330" max="14338" width="0" style="1024" hidden="1" customWidth="1"/>
    <col min="14339" max="14339" width="14.75" style="1024" customWidth="1"/>
    <col min="14340" max="14340" width="11" style="1024" customWidth="1"/>
    <col min="14341" max="14341" width="11.125" style="1024" customWidth="1"/>
    <col min="14342" max="14342" width="9.75" style="1024" customWidth="1"/>
    <col min="14343" max="14343" width="10.375" style="1024" customWidth="1"/>
    <col min="14344" max="14345" width="9.625" style="1024" customWidth="1"/>
    <col min="14346" max="14346" width="10.875" style="1024" customWidth="1"/>
    <col min="14347" max="14347" width="9.375" style="1024" customWidth="1"/>
    <col min="14348" max="14348" width="10.25" style="1024" customWidth="1"/>
    <col min="14349" max="14349" width="9.75" style="1024" customWidth="1"/>
    <col min="14350" max="14350" width="9.25" style="1024" customWidth="1"/>
    <col min="14351" max="14582" width="9" style="1024"/>
    <col min="14583" max="14583" width="6.25" style="1024" customWidth="1"/>
    <col min="14584" max="14584" width="10.125" style="1024" customWidth="1"/>
    <col min="14585" max="14585" width="29.375" style="1024" customWidth="1"/>
    <col min="14586" max="14594" width="0" style="1024" hidden="1" customWidth="1"/>
    <col min="14595" max="14595" width="14.75" style="1024" customWidth="1"/>
    <col min="14596" max="14596" width="11" style="1024" customWidth="1"/>
    <col min="14597" max="14597" width="11.125" style="1024" customWidth="1"/>
    <col min="14598" max="14598" width="9.75" style="1024" customWidth="1"/>
    <col min="14599" max="14599" width="10.375" style="1024" customWidth="1"/>
    <col min="14600" max="14601" width="9.625" style="1024" customWidth="1"/>
    <col min="14602" max="14602" width="10.875" style="1024" customWidth="1"/>
    <col min="14603" max="14603" width="9.375" style="1024" customWidth="1"/>
    <col min="14604" max="14604" width="10.25" style="1024" customWidth="1"/>
    <col min="14605" max="14605" width="9.75" style="1024" customWidth="1"/>
    <col min="14606" max="14606" width="9.25" style="1024" customWidth="1"/>
    <col min="14607" max="14838" width="9" style="1024"/>
    <col min="14839" max="14839" width="6.25" style="1024" customWidth="1"/>
    <col min="14840" max="14840" width="10.125" style="1024" customWidth="1"/>
    <col min="14841" max="14841" width="29.375" style="1024" customWidth="1"/>
    <col min="14842" max="14850" width="0" style="1024" hidden="1" customWidth="1"/>
    <col min="14851" max="14851" width="14.75" style="1024" customWidth="1"/>
    <col min="14852" max="14852" width="11" style="1024" customWidth="1"/>
    <col min="14853" max="14853" width="11.125" style="1024" customWidth="1"/>
    <col min="14854" max="14854" width="9.75" style="1024" customWidth="1"/>
    <col min="14855" max="14855" width="10.375" style="1024" customWidth="1"/>
    <col min="14856" max="14857" width="9.625" style="1024" customWidth="1"/>
    <col min="14858" max="14858" width="10.875" style="1024" customWidth="1"/>
    <col min="14859" max="14859" width="9.375" style="1024" customWidth="1"/>
    <col min="14860" max="14860" width="10.25" style="1024" customWidth="1"/>
    <col min="14861" max="14861" width="9.75" style="1024" customWidth="1"/>
    <col min="14862" max="14862" width="9.25" style="1024" customWidth="1"/>
    <col min="14863" max="15094" width="9" style="1024"/>
    <col min="15095" max="15095" width="6.25" style="1024" customWidth="1"/>
    <col min="15096" max="15096" width="10.125" style="1024" customWidth="1"/>
    <col min="15097" max="15097" width="29.375" style="1024" customWidth="1"/>
    <col min="15098" max="15106" width="0" style="1024" hidden="1" customWidth="1"/>
    <col min="15107" max="15107" width="14.75" style="1024" customWidth="1"/>
    <col min="15108" max="15108" width="11" style="1024" customWidth="1"/>
    <col min="15109" max="15109" width="11.125" style="1024" customWidth="1"/>
    <col min="15110" max="15110" width="9.75" style="1024" customWidth="1"/>
    <col min="15111" max="15111" width="10.375" style="1024" customWidth="1"/>
    <col min="15112" max="15113" width="9.625" style="1024" customWidth="1"/>
    <col min="15114" max="15114" width="10.875" style="1024" customWidth="1"/>
    <col min="15115" max="15115" width="9.375" style="1024" customWidth="1"/>
    <col min="15116" max="15116" width="10.25" style="1024" customWidth="1"/>
    <col min="15117" max="15117" width="9.75" style="1024" customWidth="1"/>
    <col min="15118" max="15118" width="9.25" style="1024" customWidth="1"/>
    <col min="15119" max="15350" width="9" style="1024"/>
    <col min="15351" max="15351" width="6.25" style="1024" customWidth="1"/>
    <col min="15352" max="15352" width="10.125" style="1024" customWidth="1"/>
    <col min="15353" max="15353" width="29.375" style="1024" customWidth="1"/>
    <col min="15354" max="15362" width="0" style="1024" hidden="1" customWidth="1"/>
    <col min="15363" max="15363" width="14.75" style="1024" customWidth="1"/>
    <col min="15364" max="15364" width="11" style="1024" customWidth="1"/>
    <col min="15365" max="15365" width="11.125" style="1024" customWidth="1"/>
    <col min="15366" max="15366" width="9.75" style="1024" customWidth="1"/>
    <col min="15367" max="15367" width="10.375" style="1024" customWidth="1"/>
    <col min="15368" max="15369" width="9.625" style="1024" customWidth="1"/>
    <col min="15370" max="15370" width="10.875" style="1024" customWidth="1"/>
    <col min="15371" max="15371" width="9.375" style="1024" customWidth="1"/>
    <col min="15372" max="15372" width="10.25" style="1024" customWidth="1"/>
    <col min="15373" max="15373" width="9.75" style="1024" customWidth="1"/>
    <col min="15374" max="15374" width="9.25" style="1024" customWidth="1"/>
    <col min="15375" max="15606" width="9" style="1024"/>
    <col min="15607" max="15607" width="6.25" style="1024" customWidth="1"/>
    <col min="15608" max="15608" width="10.125" style="1024" customWidth="1"/>
    <col min="15609" max="15609" width="29.375" style="1024" customWidth="1"/>
    <col min="15610" max="15618" width="0" style="1024" hidden="1" customWidth="1"/>
    <col min="15619" max="15619" width="14.75" style="1024" customWidth="1"/>
    <col min="15620" max="15620" width="11" style="1024" customWidth="1"/>
    <col min="15621" max="15621" width="11.125" style="1024" customWidth="1"/>
    <col min="15622" max="15622" width="9.75" style="1024" customWidth="1"/>
    <col min="15623" max="15623" width="10.375" style="1024" customWidth="1"/>
    <col min="15624" max="15625" width="9.625" style="1024" customWidth="1"/>
    <col min="15626" max="15626" width="10.875" style="1024" customWidth="1"/>
    <col min="15627" max="15627" width="9.375" style="1024" customWidth="1"/>
    <col min="15628" max="15628" width="10.25" style="1024" customWidth="1"/>
    <col min="15629" max="15629" width="9.75" style="1024" customWidth="1"/>
    <col min="15630" max="15630" width="9.25" style="1024" customWidth="1"/>
    <col min="15631" max="15862" width="9" style="1024"/>
    <col min="15863" max="15863" width="6.25" style="1024" customWidth="1"/>
    <col min="15864" max="15864" width="10.125" style="1024" customWidth="1"/>
    <col min="15865" max="15865" width="29.375" style="1024" customWidth="1"/>
    <col min="15866" max="15874" width="0" style="1024" hidden="1" customWidth="1"/>
    <col min="15875" max="15875" width="14.75" style="1024" customWidth="1"/>
    <col min="15876" max="15876" width="11" style="1024" customWidth="1"/>
    <col min="15877" max="15877" width="11.125" style="1024" customWidth="1"/>
    <col min="15878" max="15878" width="9.75" style="1024" customWidth="1"/>
    <col min="15879" max="15879" width="10.375" style="1024" customWidth="1"/>
    <col min="15880" max="15881" width="9.625" style="1024" customWidth="1"/>
    <col min="15882" max="15882" width="10.875" style="1024" customWidth="1"/>
    <col min="15883" max="15883" width="9.375" style="1024" customWidth="1"/>
    <col min="15884" max="15884" width="10.25" style="1024" customWidth="1"/>
    <col min="15885" max="15885" width="9.75" style="1024" customWidth="1"/>
    <col min="15886" max="15886" width="9.25" style="1024" customWidth="1"/>
    <col min="15887" max="16118" width="9" style="1024"/>
    <col min="16119" max="16119" width="6.25" style="1024" customWidth="1"/>
    <col min="16120" max="16120" width="10.125" style="1024" customWidth="1"/>
    <col min="16121" max="16121" width="29.375" style="1024" customWidth="1"/>
    <col min="16122" max="16130" width="0" style="1024" hidden="1" customWidth="1"/>
    <col min="16131" max="16131" width="14.75" style="1024" customWidth="1"/>
    <col min="16132" max="16132" width="11" style="1024" customWidth="1"/>
    <col min="16133" max="16133" width="11.125" style="1024" customWidth="1"/>
    <col min="16134" max="16134" width="9.75" style="1024" customWidth="1"/>
    <col min="16135" max="16135" width="10.375" style="1024" customWidth="1"/>
    <col min="16136" max="16137" width="9.625" style="1024" customWidth="1"/>
    <col min="16138" max="16138" width="10.875" style="1024" customWidth="1"/>
    <col min="16139" max="16139" width="9.375" style="1024" customWidth="1"/>
    <col min="16140" max="16140" width="10.25" style="1024" customWidth="1"/>
    <col min="16141" max="16141" width="9.75" style="1024" customWidth="1"/>
    <col min="16142" max="16142" width="9.25" style="1024" customWidth="1"/>
    <col min="16143" max="16384" width="9" style="1024"/>
  </cols>
  <sheetData>
    <row r="1" spans="1:20" ht="23.25">
      <c r="A1" s="1021" t="s">
        <v>1441</v>
      </c>
      <c r="B1" s="1086"/>
      <c r="F1" s="1025"/>
      <c r="G1" s="1025"/>
      <c r="H1" s="1026"/>
      <c r="I1" s="1026"/>
      <c r="J1" s="1026"/>
      <c r="K1" s="1025"/>
      <c r="L1" s="1025"/>
      <c r="M1" s="1109"/>
      <c r="N1" s="1027"/>
    </row>
    <row r="2" spans="1:20" ht="23.25">
      <c r="A2" s="1028" t="s">
        <v>2</v>
      </c>
      <c r="B2" s="1087"/>
      <c r="F2" s="1029"/>
      <c r="G2" s="1029"/>
      <c r="H2" s="1030"/>
      <c r="I2" s="1030"/>
      <c r="J2" s="1030"/>
      <c r="K2" s="1029"/>
      <c r="L2" s="1029"/>
      <c r="M2" s="1110"/>
      <c r="N2" s="1029"/>
    </row>
    <row r="3" spans="1:20" s="1050" customFormat="1" ht="21">
      <c r="A3" s="1281" t="s">
        <v>3</v>
      </c>
      <c r="B3" s="1290" t="s">
        <v>1436</v>
      </c>
      <c r="C3" s="1281" t="s">
        <v>4</v>
      </c>
      <c r="D3" s="1281" t="s">
        <v>21</v>
      </c>
      <c r="E3" s="1278" t="s">
        <v>5</v>
      </c>
      <c r="F3" s="1278" t="s">
        <v>6</v>
      </c>
      <c r="G3" s="1278" t="s">
        <v>7</v>
      </c>
      <c r="H3" s="1278" t="s">
        <v>8</v>
      </c>
      <c r="I3" s="1278" t="s">
        <v>9</v>
      </c>
      <c r="J3" s="1278" t="s">
        <v>10</v>
      </c>
      <c r="K3" s="1284" t="s">
        <v>11</v>
      </c>
      <c r="L3" s="1284" t="s">
        <v>12</v>
      </c>
      <c r="M3" s="1287" t="s">
        <v>13</v>
      </c>
      <c r="N3" s="1278" t="s">
        <v>14</v>
      </c>
      <c r="O3" s="1275" t="s">
        <v>1449</v>
      </c>
      <c r="P3" s="1275" t="s">
        <v>1450</v>
      </c>
      <c r="Q3" s="1275" t="s">
        <v>1451</v>
      </c>
      <c r="R3" s="1275" t="s">
        <v>1452</v>
      </c>
      <c r="S3" s="1278" t="s">
        <v>859</v>
      </c>
      <c r="T3" s="1278" t="s">
        <v>860</v>
      </c>
    </row>
    <row r="4" spans="1:20" s="1050" customFormat="1" ht="21">
      <c r="A4" s="1282"/>
      <c r="B4" s="1291"/>
      <c r="C4" s="1282"/>
      <c r="D4" s="1282"/>
      <c r="E4" s="1279"/>
      <c r="F4" s="1279"/>
      <c r="G4" s="1279"/>
      <c r="H4" s="1279"/>
      <c r="I4" s="1279"/>
      <c r="J4" s="1279"/>
      <c r="K4" s="1285"/>
      <c r="L4" s="1285"/>
      <c r="M4" s="1288"/>
      <c r="N4" s="1279"/>
      <c r="O4" s="1276"/>
      <c r="P4" s="1276"/>
      <c r="Q4" s="1276"/>
      <c r="R4" s="1276"/>
      <c r="S4" s="1279"/>
      <c r="T4" s="1279"/>
    </row>
    <row r="5" spans="1:20" s="1050" customFormat="1" ht="83.25" customHeight="1">
      <c r="A5" s="1283"/>
      <c r="B5" s="1292"/>
      <c r="C5" s="1283"/>
      <c r="D5" s="1283"/>
      <c r="E5" s="1280"/>
      <c r="F5" s="1280"/>
      <c r="G5" s="1280"/>
      <c r="H5" s="1280"/>
      <c r="I5" s="1280"/>
      <c r="J5" s="1280"/>
      <c r="K5" s="1286"/>
      <c r="L5" s="1286"/>
      <c r="M5" s="1289"/>
      <c r="N5" s="1280"/>
      <c r="O5" s="1277"/>
      <c r="P5" s="1277"/>
      <c r="Q5" s="1277"/>
      <c r="R5" s="1277"/>
      <c r="S5" s="1280"/>
      <c r="T5" s="1280"/>
    </row>
    <row r="6" spans="1:20" s="1050" customFormat="1" ht="21">
      <c r="A6" s="1051">
        <v>1</v>
      </c>
      <c r="B6" s="1052" t="s">
        <v>31</v>
      </c>
      <c r="C6" s="1052">
        <v>2</v>
      </c>
      <c r="D6" s="1051">
        <v>3</v>
      </c>
      <c r="E6" s="1051">
        <v>4</v>
      </c>
      <c r="F6" s="1051">
        <v>5</v>
      </c>
      <c r="G6" s="1051">
        <v>6</v>
      </c>
      <c r="H6" s="1051">
        <v>7</v>
      </c>
      <c r="I6" s="1051">
        <v>8</v>
      </c>
      <c r="J6" s="1051">
        <v>9</v>
      </c>
      <c r="K6" s="1051">
        <v>10</v>
      </c>
      <c r="L6" s="1051">
        <v>11</v>
      </c>
      <c r="M6" s="1052">
        <v>12</v>
      </c>
      <c r="N6" s="1051">
        <v>13</v>
      </c>
      <c r="O6" s="1051">
        <v>14</v>
      </c>
      <c r="P6" s="1051">
        <v>15</v>
      </c>
      <c r="Q6" s="1051">
        <v>16</v>
      </c>
      <c r="R6" s="1051">
        <v>17</v>
      </c>
      <c r="S6" s="1051">
        <v>18</v>
      </c>
      <c r="T6" s="1051">
        <v>19</v>
      </c>
    </row>
    <row r="7" spans="1:20" s="1040" customFormat="1" ht="23.25">
      <c r="A7" s="1032" t="s">
        <v>1447</v>
      </c>
      <c r="B7" s="1033"/>
      <c r="C7" s="1034"/>
      <c r="D7" s="1035"/>
      <c r="E7" s="1036"/>
      <c r="F7" s="1036"/>
      <c r="G7" s="1036"/>
      <c r="H7" s="1036"/>
      <c r="I7" s="1036"/>
      <c r="J7" s="1036"/>
      <c r="K7" s="1036"/>
      <c r="L7" s="1036"/>
      <c r="M7" s="1033"/>
      <c r="N7" s="1037"/>
      <c r="O7" s="1038" t="s">
        <v>546</v>
      </c>
      <c r="P7" s="1037"/>
      <c r="Q7" s="1037"/>
      <c r="R7" s="1037"/>
      <c r="S7" s="1037"/>
      <c r="T7" s="1039"/>
    </row>
    <row r="8" spans="1:20" s="1040" customFormat="1" ht="23.25">
      <c r="A8" s="1041" t="s">
        <v>1448</v>
      </c>
      <c r="B8" s="1042"/>
      <c r="C8" s="1043"/>
      <c r="D8" s="1031"/>
      <c r="E8" s="1037"/>
      <c r="F8" s="1037"/>
      <c r="G8" s="1037"/>
      <c r="H8" s="1037"/>
      <c r="I8" s="1037"/>
      <c r="J8" s="1037"/>
      <c r="K8" s="1037"/>
      <c r="L8" s="1037"/>
      <c r="M8" s="1042"/>
      <c r="N8" s="1037"/>
      <c r="O8" s="1038" t="s">
        <v>546</v>
      </c>
      <c r="P8" s="1037"/>
      <c r="Q8" s="1037"/>
      <c r="R8" s="1037"/>
      <c r="S8" s="1037"/>
      <c r="T8" s="1039"/>
    </row>
    <row r="9" spans="1:20" ht="21">
      <c r="A9" s="1113">
        <v>1</v>
      </c>
      <c r="B9" s="1114" t="s">
        <v>1437</v>
      </c>
      <c r="C9" s="987" t="s">
        <v>1276</v>
      </c>
      <c r="D9" s="1018" t="s">
        <v>1446</v>
      </c>
      <c r="E9" s="1044"/>
      <c r="F9" s="1044"/>
      <c r="G9" s="1044"/>
      <c r="H9" s="1044"/>
      <c r="I9" s="1044"/>
      <c r="J9" s="1044"/>
      <c r="K9" s="1044"/>
      <c r="L9" s="1044"/>
      <c r="M9" s="1088" t="s">
        <v>522</v>
      </c>
      <c r="N9" s="990" t="s">
        <v>34</v>
      </c>
      <c r="O9" s="1044"/>
      <c r="P9" s="1044"/>
      <c r="Q9" s="1044"/>
      <c r="R9" s="1044"/>
      <c r="S9" s="1044"/>
      <c r="T9" s="1044"/>
    </row>
    <row r="10" spans="1:20" ht="21">
      <c r="A10" s="1115"/>
      <c r="B10" s="1116" t="s">
        <v>1438</v>
      </c>
      <c r="C10" s="987" t="s">
        <v>1418</v>
      </c>
      <c r="D10" s="1018" t="s">
        <v>1446</v>
      </c>
      <c r="E10" s="1044"/>
      <c r="F10" s="1044"/>
      <c r="G10" s="1044"/>
      <c r="H10" s="1044"/>
      <c r="I10" s="1044"/>
      <c r="J10" s="1044"/>
      <c r="K10" s="1044"/>
      <c r="L10" s="1044"/>
      <c r="M10" s="1088" t="s">
        <v>1469</v>
      </c>
      <c r="N10" s="990">
        <f>N11+N12+N13+N14+N33</f>
        <v>10076000</v>
      </c>
      <c r="O10" s="1044"/>
      <c r="P10" s="1044"/>
      <c r="Q10" s="1044"/>
      <c r="R10" s="1044"/>
      <c r="S10" s="1044"/>
      <c r="T10" s="1044"/>
    </row>
    <row r="11" spans="1:20" ht="21">
      <c r="A11" s="1115"/>
      <c r="B11" s="1116" t="s">
        <v>1439</v>
      </c>
      <c r="C11" s="1001" t="s">
        <v>1428</v>
      </c>
      <c r="D11" s="1018" t="s">
        <v>1446</v>
      </c>
      <c r="E11" s="1044"/>
      <c r="F11" s="1044"/>
      <c r="G11" s="1044"/>
      <c r="H11" s="1044"/>
      <c r="I11" s="1044"/>
      <c r="J11" s="1044"/>
      <c r="K11" s="1044"/>
      <c r="L11" s="1044"/>
      <c r="M11" s="1088" t="s">
        <v>1469</v>
      </c>
      <c r="N11" s="991">
        <f>8306700-340500</f>
        <v>7966200</v>
      </c>
      <c r="O11" s="1044"/>
      <c r="P11" s="1044"/>
      <c r="Q11" s="1044"/>
      <c r="R11" s="1044"/>
      <c r="S11" s="1044"/>
      <c r="T11" s="1044"/>
    </row>
    <row r="12" spans="1:20" ht="21">
      <c r="A12" s="1117"/>
      <c r="B12" s="1118" t="s">
        <v>1440</v>
      </c>
      <c r="C12" s="1009" t="s">
        <v>1429</v>
      </c>
      <c r="D12" s="1018" t="s">
        <v>1446</v>
      </c>
      <c r="E12" s="1044"/>
      <c r="F12" s="1044"/>
      <c r="G12" s="1044"/>
      <c r="H12" s="1044"/>
      <c r="I12" s="1044"/>
      <c r="J12" s="1044"/>
      <c r="K12" s="1044"/>
      <c r="L12" s="1044"/>
      <c r="M12" s="1088" t="s">
        <v>1469</v>
      </c>
      <c r="N12" s="991">
        <v>340500</v>
      </c>
      <c r="O12" s="1044"/>
      <c r="P12" s="1044"/>
      <c r="Q12" s="1044"/>
      <c r="R12" s="1044"/>
      <c r="S12" s="1044"/>
      <c r="T12" s="1044"/>
    </row>
    <row r="13" spans="1:20" ht="21">
      <c r="A13" s="1117"/>
      <c r="B13" s="1118"/>
      <c r="C13" s="1009" t="s">
        <v>1430</v>
      </c>
      <c r="D13" s="1018" t="s">
        <v>1446</v>
      </c>
      <c r="E13" s="1044"/>
      <c r="F13" s="1044"/>
      <c r="G13" s="1044"/>
      <c r="H13" s="1044"/>
      <c r="I13" s="1044"/>
      <c r="J13" s="1044"/>
      <c r="K13" s="1044"/>
      <c r="L13" s="1044"/>
      <c r="M13" s="1088" t="s">
        <v>1469</v>
      </c>
      <c r="N13" s="991">
        <v>315000</v>
      </c>
      <c r="O13" s="1044"/>
      <c r="P13" s="1044"/>
      <c r="Q13" s="1044"/>
      <c r="R13" s="1044"/>
      <c r="S13" s="1044"/>
      <c r="T13" s="1044"/>
    </row>
    <row r="14" spans="1:20" ht="21">
      <c r="A14" s="1117"/>
      <c r="B14" s="1118"/>
      <c r="C14" s="1009" t="s">
        <v>1431</v>
      </c>
      <c r="D14" s="1018" t="s">
        <v>1446</v>
      </c>
      <c r="E14" s="1044"/>
      <c r="F14" s="1044"/>
      <c r="G14" s="1044"/>
      <c r="H14" s="1044"/>
      <c r="I14" s="1044"/>
      <c r="J14" s="1044"/>
      <c r="K14" s="1044"/>
      <c r="L14" s="1044"/>
      <c r="M14" s="1088" t="s">
        <v>1469</v>
      </c>
      <c r="N14" s="991">
        <f>N16+N18+N19+N20+N21+N22+N23+N24+N32</f>
        <v>1454300</v>
      </c>
      <c r="O14" s="1044"/>
      <c r="P14" s="1044"/>
      <c r="Q14" s="1044"/>
      <c r="R14" s="1044"/>
      <c r="S14" s="1044"/>
      <c r="T14" s="1044"/>
    </row>
    <row r="15" spans="1:20" ht="21">
      <c r="A15" s="1117"/>
      <c r="B15" s="1118"/>
      <c r="C15" s="1002" t="s">
        <v>1432</v>
      </c>
      <c r="D15" s="1018" t="s">
        <v>1446</v>
      </c>
      <c r="E15" s="1044"/>
      <c r="F15" s="1044"/>
      <c r="G15" s="1044"/>
      <c r="H15" s="1044"/>
      <c r="I15" s="1044"/>
      <c r="J15" s="1044"/>
      <c r="K15" s="1044"/>
      <c r="L15" s="1044"/>
      <c r="M15" s="1088" t="s">
        <v>1469</v>
      </c>
      <c r="N15" s="991"/>
      <c r="O15" s="1044"/>
      <c r="P15" s="1044"/>
      <c r="Q15" s="1044"/>
      <c r="R15" s="1044"/>
      <c r="S15" s="1044"/>
      <c r="T15" s="1044"/>
    </row>
    <row r="16" spans="1:20" ht="42">
      <c r="A16" s="1117"/>
      <c r="B16" s="1118"/>
      <c r="C16" s="1000" t="s">
        <v>1277</v>
      </c>
      <c r="D16" s="1018" t="s">
        <v>1446</v>
      </c>
      <c r="E16" s="1044"/>
      <c r="F16" s="1044"/>
      <c r="G16" s="1044"/>
      <c r="H16" s="1044"/>
      <c r="I16" s="1044"/>
      <c r="J16" s="1044"/>
      <c r="K16" s="1044"/>
      <c r="L16" s="1044"/>
      <c r="M16" s="1088" t="s">
        <v>1469</v>
      </c>
      <c r="N16" s="991">
        <v>63700</v>
      </c>
      <c r="O16" s="1044"/>
      <c r="P16" s="1044"/>
      <c r="Q16" s="1044"/>
      <c r="R16" s="1044"/>
      <c r="S16" s="1044"/>
      <c r="T16" s="1044"/>
    </row>
    <row r="17" spans="1:20" ht="21">
      <c r="A17" s="1117"/>
      <c r="B17" s="1118"/>
      <c r="C17" s="1002" t="s">
        <v>1433</v>
      </c>
      <c r="D17" s="1018" t="s">
        <v>1446</v>
      </c>
      <c r="E17" s="1044"/>
      <c r="F17" s="1044"/>
      <c r="G17" s="1044"/>
      <c r="H17" s="1044"/>
      <c r="I17" s="1044"/>
      <c r="J17" s="1044"/>
      <c r="K17" s="1044"/>
      <c r="L17" s="1044"/>
      <c r="M17" s="1088" t="s">
        <v>1469</v>
      </c>
      <c r="N17" s="991"/>
      <c r="O17" s="1044"/>
      <c r="P17" s="1044"/>
      <c r="Q17" s="1044"/>
      <c r="R17" s="1044"/>
      <c r="S17" s="1044"/>
      <c r="T17" s="1044"/>
    </row>
    <row r="18" spans="1:20" ht="21">
      <c r="A18" s="1117"/>
      <c r="B18" s="1118"/>
      <c r="C18" s="1012" t="s">
        <v>1278</v>
      </c>
      <c r="D18" s="1018" t="s">
        <v>1446</v>
      </c>
      <c r="E18" s="1044"/>
      <c r="F18" s="1044"/>
      <c r="G18" s="1044"/>
      <c r="H18" s="1044"/>
      <c r="I18" s="1044"/>
      <c r="J18" s="1044"/>
      <c r="K18" s="1044"/>
      <c r="L18" s="1044"/>
      <c r="M18" s="1088" t="s">
        <v>1469</v>
      </c>
      <c r="N18" s="991">
        <v>25100</v>
      </c>
      <c r="O18" s="1044"/>
      <c r="P18" s="1044"/>
      <c r="Q18" s="1044"/>
      <c r="R18" s="1044"/>
      <c r="S18" s="1044"/>
      <c r="T18" s="1044"/>
    </row>
    <row r="19" spans="1:20" ht="21">
      <c r="A19" s="1117"/>
      <c r="B19" s="1118"/>
      <c r="C19" s="1012" t="s">
        <v>1279</v>
      </c>
      <c r="D19" s="1018" t="s">
        <v>1446</v>
      </c>
      <c r="E19" s="1044"/>
      <c r="F19" s="1044"/>
      <c r="G19" s="1044"/>
      <c r="H19" s="1044"/>
      <c r="I19" s="1044"/>
      <c r="J19" s="1044"/>
      <c r="K19" s="1044"/>
      <c r="L19" s="1044"/>
      <c r="M19" s="1088" t="s">
        <v>1469</v>
      </c>
      <c r="N19" s="991">
        <v>70000</v>
      </c>
      <c r="O19" s="1044"/>
      <c r="P19" s="1044"/>
      <c r="Q19" s="1044"/>
      <c r="R19" s="1044"/>
      <c r="S19" s="1044"/>
      <c r="T19" s="1044"/>
    </row>
    <row r="20" spans="1:20" ht="42">
      <c r="A20" s="1117"/>
      <c r="B20" s="1118"/>
      <c r="C20" s="1012" t="s">
        <v>1280</v>
      </c>
      <c r="D20" s="1018" t="s">
        <v>1446</v>
      </c>
      <c r="E20" s="1044"/>
      <c r="F20" s="1044"/>
      <c r="G20" s="1044"/>
      <c r="H20" s="1044"/>
      <c r="I20" s="1044"/>
      <c r="J20" s="1044"/>
      <c r="K20" s="1044"/>
      <c r="L20" s="1044"/>
      <c r="M20" s="1088" t="s">
        <v>1469</v>
      </c>
      <c r="N20" s="991">
        <v>0</v>
      </c>
      <c r="O20" s="1044"/>
      <c r="P20" s="1044"/>
      <c r="Q20" s="1044"/>
      <c r="R20" s="1044"/>
      <c r="S20" s="1044"/>
      <c r="T20" s="1044"/>
    </row>
    <row r="21" spans="1:20" ht="21">
      <c r="A21" s="1117"/>
      <c r="B21" s="1118"/>
      <c r="C21" s="1012" t="s">
        <v>1281</v>
      </c>
      <c r="D21" s="1018" t="s">
        <v>1446</v>
      </c>
      <c r="E21" s="1044"/>
      <c r="F21" s="1044"/>
      <c r="G21" s="1044"/>
      <c r="H21" s="1044"/>
      <c r="I21" s="1044"/>
      <c r="J21" s="1044"/>
      <c r="K21" s="1044"/>
      <c r="L21" s="1044"/>
      <c r="M21" s="1088" t="s">
        <v>1469</v>
      </c>
      <c r="N21" s="991">
        <v>0</v>
      </c>
      <c r="O21" s="1044"/>
      <c r="P21" s="1044"/>
      <c r="Q21" s="1044"/>
      <c r="R21" s="1044"/>
      <c r="S21" s="1044"/>
      <c r="T21" s="1044"/>
    </row>
    <row r="22" spans="1:20" ht="42">
      <c r="A22" s="1119"/>
      <c r="B22" s="1118"/>
      <c r="C22" s="1015" t="s">
        <v>1376</v>
      </c>
      <c r="D22" s="1018" t="s">
        <v>1446</v>
      </c>
      <c r="E22" s="1044"/>
      <c r="F22" s="1044"/>
      <c r="G22" s="1044"/>
      <c r="H22" s="1044"/>
      <c r="I22" s="1044"/>
      <c r="J22" s="1044"/>
      <c r="K22" s="1044"/>
      <c r="L22" s="1044"/>
      <c r="M22" s="1088" t="s">
        <v>1469</v>
      </c>
      <c r="N22" s="1005">
        <v>0</v>
      </c>
      <c r="O22" s="1044"/>
      <c r="P22" s="1044"/>
      <c r="Q22" s="1044"/>
      <c r="R22" s="1044"/>
      <c r="S22" s="1044"/>
      <c r="T22" s="1044"/>
    </row>
    <row r="23" spans="1:20" ht="21">
      <c r="A23" s="1117"/>
      <c r="B23" s="1118"/>
      <c r="C23" s="1012" t="s">
        <v>1282</v>
      </c>
      <c r="D23" s="1018" t="s">
        <v>1446</v>
      </c>
      <c r="E23" s="1044"/>
      <c r="F23" s="1044"/>
      <c r="G23" s="1044"/>
      <c r="H23" s="1044"/>
      <c r="I23" s="1044"/>
      <c r="J23" s="1044"/>
      <c r="K23" s="1044"/>
      <c r="L23" s="1044"/>
      <c r="M23" s="1088" t="s">
        <v>1469</v>
      </c>
      <c r="N23" s="991">
        <v>0</v>
      </c>
      <c r="O23" s="1044"/>
      <c r="P23" s="1044"/>
      <c r="Q23" s="1044"/>
      <c r="R23" s="1044"/>
      <c r="S23" s="1044"/>
      <c r="T23" s="1044"/>
    </row>
    <row r="24" spans="1:20" ht="21">
      <c r="A24" s="1117"/>
      <c r="B24" s="1091"/>
      <c r="C24" s="1012" t="s">
        <v>1419</v>
      </c>
      <c r="D24" s="1018" t="s">
        <v>1446</v>
      </c>
      <c r="E24" s="1044"/>
      <c r="F24" s="1044"/>
      <c r="G24" s="1044"/>
      <c r="H24" s="1044"/>
      <c r="I24" s="1044"/>
      <c r="J24" s="1044"/>
      <c r="K24" s="1044"/>
      <c r="L24" s="1044"/>
      <c r="M24" s="1088" t="s">
        <v>1469</v>
      </c>
      <c r="N24" s="991">
        <f>SUM(N25:N30)</f>
        <v>515000</v>
      </c>
      <c r="O24" s="1044"/>
      <c r="P24" s="1044"/>
      <c r="Q24" s="1044"/>
      <c r="R24" s="1044"/>
      <c r="S24" s="1044"/>
      <c r="T24" s="1044"/>
    </row>
    <row r="25" spans="1:20" ht="93.75">
      <c r="A25" s="1120"/>
      <c r="B25" s="1088" t="s">
        <v>55</v>
      </c>
      <c r="C25" s="1016" t="s">
        <v>1377</v>
      </c>
      <c r="D25" s="1018" t="s">
        <v>1446</v>
      </c>
      <c r="E25" s="1044"/>
      <c r="F25" s="1044"/>
      <c r="G25" s="1044"/>
      <c r="H25" s="1044"/>
      <c r="I25" s="1044"/>
      <c r="J25" s="1044"/>
      <c r="K25" s="1044"/>
      <c r="L25" s="1044"/>
      <c r="M25" s="1088" t="s">
        <v>1469</v>
      </c>
      <c r="N25" s="1017">
        <v>25000</v>
      </c>
      <c r="O25" s="1044"/>
      <c r="P25" s="1044"/>
      <c r="Q25" s="1044"/>
      <c r="R25" s="1044"/>
      <c r="S25" s="1044"/>
      <c r="T25" s="1044"/>
    </row>
    <row r="26" spans="1:20" ht="93.75">
      <c r="A26" s="1120"/>
      <c r="B26" s="1088" t="s">
        <v>55</v>
      </c>
      <c r="C26" s="1016" t="s">
        <v>1378</v>
      </c>
      <c r="D26" s="1018" t="s">
        <v>1446</v>
      </c>
      <c r="E26" s="1044"/>
      <c r="F26" s="1044"/>
      <c r="G26" s="1044"/>
      <c r="H26" s="1044"/>
      <c r="I26" s="1044"/>
      <c r="J26" s="1044"/>
      <c r="K26" s="1044"/>
      <c r="L26" s="1044"/>
      <c r="M26" s="1088" t="s">
        <v>1469</v>
      </c>
      <c r="N26" s="1017">
        <v>50000</v>
      </c>
      <c r="O26" s="1044"/>
      <c r="P26" s="1044"/>
      <c r="Q26" s="1044"/>
      <c r="R26" s="1044"/>
      <c r="S26" s="1044"/>
      <c r="T26" s="1044"/>
    </row>
    <row r="27" spans="1:20" ht="56.25">
      <c r="A27" s="1120"/>
      <c r="B27" s="1088" t="s">
        <v>101</v>
      </c>
      <c r="C27" s="1016" t="s">
        <v>1379</v>
      </c>
      <c r="D27" s="1018" t="s">
        <v>1446</v>
      </c>
      <c r="E27" s="1044"/>
      <c r="F27" s="1044"/>
      <c r="G27" s="1044"/>
      <c r="H27" s="1044"/>
      <c r="I27" s="1044"/>
      <c r="J27" s="1044"/>
      <c r="K27" s="1044"/>
      <c r="L27" s="1044"/>
      <c r="M27" s="1088" t="s">
        <v>1469</v>
      </c>
      <c r="N27" s="1017">
        <v>40000</v>
      </c>
      <c r="O27" s="1044"/>
      <c r="P27" s="1044"/>
      <c r="Q27" s="1044"/>
      <c r="R27" s="1044"/>
      <c r="S27" s="1044"/>
      <c r="T27" s="1044"/>
    </row>
    <row r="28" spans="1:20" ht="37.5">
      <c r="A28" s="1121"/>
      <c r="B28" s="1088" t="s">
        <v>455</v>
      </c>
      <c r="C28" s="1016" t="s">
        <v>1380</v>
      </c>
      <c r="D28" s="1018" t="s">
        <v>1446</v>
      </c>
      <c r="E28" s="1044"/>
      <c r="F28" s="1044"/>
      <c r="G28" s="1044"/>
      <c r="H28" s="1044"/>
      <c r="I28" s="1044"/>
      <c r="J28" s="1044"/>
      <c r="K28" s="1044"/>
      <c r="L28" s="1044"/>
      <c r="M28" s="1088" t="s">
        <v>1469</v>
      </c>
      <c r="N28" s="1017">
        <v>350000</v>
      </c>
      <c r="O28" s="1044"/>
      <c r="P28" s="1044"/>
      <c r="Q28" s="1044"/>
      <c r="R28" s="1044"/>
      <c r="S28" s="1044"/>
      <c r="T28" s="1044"/>
    </row>
    <row r="29" spans="1:20" ht="56.25">
      <c r="A29" s="1122"/>
      <c r="B29" s="1088" t="s">
        <v>455</v>
      </c>
      <c r="C29" s="1016" t="s">
        <v>1381</v>
      </c>
      <c r="D29" s="1018" t="s">
        <v>1446</v>
      </c>
      <c r="E29" s="1044"/>
      <c r="F29" s="1044"/>
      <c r="G29" s="1044"/>
      <c r="H29" s="1044"/>
      <c r="I29" s="1044"/>
      <c r="J29" s="1044"/>
      <c r="K29" s="1044"/>
      <c r="L29" s="1044"/>
      <c r="M29" s="1088" t="s">
        <v>1469</v>
      </c>
      <c r="N29" s="1017">
        <v>25000</v>
      </c>
      <c r="O29" s="1044"/>
      <c r="P29" s="1044"/>
      <c r="Q29" s="1044"/>
      <c r="R29" s="1044"/>
      <c r="S29" s="1044"/>
      <c r="T29" s="1044"/>
    </row>
    <row r="30" spans="1:20" ht="56.25">
      <c r="A30" s="1120"/>
      <c r="B30" s="1088" t="s">
        <v>455</v>
      </c>
      <c r="C30" s="1016" t="s">
        <v>1382</v>
      </c>
      <c r="D30" s="1018" t="s">
        <v>1446</v>
      </c>
      <c r="E30" s="1044"/>
      <c r="F30" s="1044"/>
      <c r="G30" s="1044"/>
      <c r="H30" s="1044"/>
      <c r="I30" s="1044"/>
      <c r="J30" s="1044"/>
      <c r="K30" s="1044"/>
      <c r="L30" s="1044"/>
      <c r="M30" s="1088" t="s">
        <v>1469</v>
      </c>
      <c r="N30" s="1017">
        <v>25000</v>
      </c>
      <c r="O30" s="1044"/>
      <c r="P30" s="1044"/>
      <c r="Q30" s="1044"/>
      <c r="R30" s="1044"/>
      <c r="S30" s="1044"/>
      <c r="T30" s="1044"/>
    </row>
    <row r="31" spans="1:20" ht="21">
      <c r="A31" s="1117"/>
      <c r="B31" s="1090"/>
      <c r="C31" s="1002" t="s">
        <v>1434</v>
      </c>
      <c r="D31" s="1018" t="s">
        <v>1446</v>
      </c>
      <c r="E31" s="1044"/>
      <c r="F31" s="1044"/>
      <c r="G31" s="1044"/>
      <c r="H31" s="1044"/>
      <c r="I31" s="1044"/>
      <c r="J31" s="1044"/>
      <c r="K31" s="1044"/>
      <c r="L31" s="1044"/>
      <c r="M31" s="1088" t="s">
        <v>1469</v>
      </c>
      <c r="N31" s="991"/>
      <c r="O31" s="1044"/>
      <c r="P31" s="1044"/>
      <c r="Q31" s="1044"/>
      <c r="R31" s="1044"/>
      <c r="S31" s="1044"/>
      <c r="T31" s="1044"/>
    </row>
    <row r="32" spans="1:20" ht="21">
      <c r="A32" s="1117"/>
      <c r="B32" s="1118"/>
      <c r="C32" s="1012" t="s">
        <v>1283</v>
      </c>
      <c r="D32" s="1018" t="s">
        <v>1446</v>
      </c>
      <c r="E32" s="1044"/>
      <c r="F32" s="1044"/>
      <c r="G32" s="1044"/>
      <c r="H32" s="1044"/>
      <c r="I32" s="1044"/>
      <c r="J32" s="1044"/>
      <c r="K32" s="1044"/>
      <c r="L32" s="1044"/>
      <c r="M32" s="1088" t="s">
        <v>1469</v>
      </c>
      <c r="N32" s="991">
        <v>780500</v>
      </c>
      <c r="O32" s="1044"/>
      <c r="P32" s="1044"/>
      <c r="Q32" s="1044"/>
      <c r="R32" s="1044"/>
      <c r="S32" s="1044"/>
      <c r="T32" s="1044"/>
    </row>
    <row r="33" spans="1:20" ht="21">
      <c r="A33" s="1117"/>
      <c r="B33" s="1118"/>
      <c r="C33" s="1009" t="s">
        <v>1435</v>
      </c>
      <c r="D33" s="1018" t="s">
        <v>1446</v>
      </c>
      <c r="E33" s="1044"/>
      <c r="F33" s="1044"/>
      <c r="G33" s="1044"/>
      <c r="H33" s="1044"/>
      <c r="I33" s="1044"/>
      <c r="J33" s="1044"/>
      <c r="K33" s="1044"/>
      <c r="L33" s="1044"/>
      <c r="M33" s="1088" t="s">
        <v>1469</v>
      </c>
      <c r="N33" s="991">
        <v>0</v>
      </c>
      <c r="O33" s="1044"/>
      <c r="P33" s="1044"/>
      <c r="Q33" s="1044"/>
      <c r="R33" s="1044"/>
      <c r="S33" s="1044"/>
      <c r="T33" s="1044"/>
    </row>
    <row r="34" spans="1:20" ht="21">
      <c r="A34" s="1123"/>
      <c r="B34" s="1118"/>
      <c r="C34" s="987" t="s">
        <v>1420</v>
      </c>
      <c r="D34" s="1018" t="s">
        <v>1446</v>
      </c>
      <c r="E34" s="1044"/>
      <c r="F34" s="1044"/>
      <c r="G34" s="1044"/>
      <c r="H34" s="1044"/>
      <c r="I34" s="1044"/>
      <c r="J34" s="1044"/>
      <c r="K34" s="1044"/>
      <c r="L34" s="1044"/>
      <c r="M34" s="1088" t="s">
        <v>520</v>
      </c>
      <c r="N34" s="997">
        <f>N35+N36+N48+N50</f>
        <v>1973300</v>
      </c>
      <c r="O34" s="1044"/>
      <c r="P34" s="1044"/>
      <c r="Q34" s="1044"/>
      <c r="R34" s="1044"/>
      <c r="S34" s="1044"/>
      <c r="T34" s="1044"/>
    </row>
    <row r="35" spans="1:20" ht="21">
      <c r="A35" s="1123"/>
      <c r="B35" s="1118"/>
      <c r="C35" s="1009" t="s">
        <v>1421</v>
      </c>
      <c r="D35" s="1018" t="s">
        <v>1446</v>
      </c>
      <c r="E35" s="1044"/>
      <c r="F35" s="1044"/>
      <c r="G35" s="1044"/>
      <c r="H35" s="1044"/>
      <c r="I35" s="1044"/>
      <c r="J35" s="1044"/>
      <c r="K35" s="1044"/>
      <c r="L35" s="1044"/>
      <c r="M35" s="1088" t="s">
        <v>520</v>
      </c>
      <c r="N35" s="991">
        <v>113900</v>
      </c>
      <c r="O35" s="1044"/>
      <c r="P35" s="1044"/>
      <c r="Q35" s="1044"/>
      <c r="R35" s="1044"/>
      <c r="S35" s="1044"/>
      <c r="T35" s="1044"/>
    </row>
    <row r="36" spans="1:20" ht="21">
      <c r="A36" s="1123"/>
      <c r="B36" s="1118"/>
      <c r="C36" s="1009" t="s">
        <v>1422</v>
      </c>
      <c r="D36" s="1018" t="s">
        <v>1446</v>
      </c>
      <c r="E36" s="1044"/>
      <c r="F36" s="1044"/>
      <c r="G36" s="1044"/>
      <c r="H36" s="1044"/>
      <c r="I36" s="1044"/>
      <c r="J36" s="1044"/>
      <c r="K36" s="1044"/>
      <c r="L36" s="1044"/>
      <c r="M36" s="1088" t="s">
        <v>520</v>
      </c>
      <c r="N36" s="991">
        <f>N38+N40+N42+N43+N44+N45+N47</f>
        <v>1002000</v>
      </c>
      <c r="O36" s="1044"/>
      <c r="P36" s="1044"/>
      <c r="Q36" s="1044"/>
      <c r="R36" s="1044"/>
      <c r="S36" s="1044"/>
      <c r="T36" s="1044"/>
    </row>
    <row r="37" spans="1:20" ht="21">
      <c r="A37" s="1123"/>
      <c r="B37" s="1118"/>
      <c r="C37" s="1011" t="s">
        <v>1423</v>
      </c>
      <c r="D37" s="1018" t="s">
        <v>1446</v>
      </c>
      <c r="E37" s="1044"/>
      <c r="F37" s="1044"/>
      <c r="G37" s="1044"/>
      <c r="H37" s="1044"/>
      <c r="I37" s="1044"/>
      <c r="J37" s="1044"/>
      <c r="K37" s="1044"/>
      <c r="L37" s="1044"/>
      <c r="M37" s="1088" t="s">
        <v>520</v>
      </c>
      <c r="N37" s="991"/>
      <c r="O37" s="1044"/>
      <c r="P37" s="1044"/>
      <c r="Q37" s="1044"/>
      <c r="R37" s="1044"/>
      <c r="S37" s="1044"/>
      <c r="T37" s="1044"/>
    </row>
    <row r="38" spans="1:20" ht="42">
      <c r="A38" s="1123"/>
      <c r="B38" s="1118"/>
      <c r="C38" s="1000" t="s">
        <v>1277</v>
      </c>
      <c r="D38" s="1018" t="s">
        <v>1446</v>
      </c>
      <c r="E38" s="1044"/>
      <c r="F38" s="1044"/>
      <c r="G38" s="1044"/>
      <c r="H38" s="1044"/>
      <c r="I38" s="1044"/>
      <c r="J38" s="1044"/>
      <c r="K38" s="1044"/>
      <c r="L38" s="1044"/>
      <c r="M38" s="1088" t="s">
        <v>520</v>
      </c>
      <c r="N38" s="991">
        <v>567600</v>
      </c>
      <c r="O38" s="1044"/>
      <c r="P38" s="1044"/>
      <c r="Q38" s="1044"/>
      <c r="R38" s="1044"/>
      <c r="S38" s="1044"/>
      <c r="T38" s="1044"/>
    </row>
    <row r="39" spans="1:20" ht="21">
      <c r="A39" s="1123"/>
      <c r="B39" s="1118"/>
      <c r="C39" s="1011" t="s">
        <v>1424</v>
      </c>
      <c r="D39" s="1018" t="s">
        <v>1446</v>
      </c>
      <c r="E39" s="1044"/>
      <c r="F39" s="1044"/>
      <c r="G39" s="1044"/>
      <c r="H39" s="1044"/>
      <c r="I39" s="1044"/>
      <c r="J39" s="1044"/>
      <c r="K39" s="1044"/>
      <c r="L39" s="1044"/>
      <c r="M39" s="1088" t="s">
        <v>520</v>
      </c>
      <c r="N39" s="991" t="s">
        <v>34</v>
      </c>
      <c r="O39" s="1044"/>
      <c r="P39" s="1044"/>
      <c r="Q39" s="1044"/>
      <c r="R39" s="1044"/>
      <c r="S39" s="1044"/>
      <c r="T39" s="1044"/>
    </row>
    <row r="40" spans="1:20" ht="21">
      <c r="A40" s="1123"/>
      <c r="B40" s="1118"/>
      <c r="C40" s="1012" t="s">
        <v>1278</v>
      </c>
      <c r="D40" s="1018" t="s">
        <v>1446</v>
      </c>
      <c r="E40" s="1044"/>
      <c r="F40" s="1044"/>
      <c r="G40" s="1044"/>
      <c r="H40" s="1044"/>
      <c r="I40" s="1044"/>
      <c r="J40" s="1044"/>
      <c r="K40" s="1044"/>
      <c r="L40" s="1044"/>
      <c r="M40" s="1088" t="s">
        <v>520</v>
      </c>
      <c r="N40" s="991">
        <v>130000</v>
      </c>
      <c r="O40" s="1044"/>
      <c r="P40" s="1044"/>
      <c r="Q40" s="1044"/>
      <c r="R40" s="1044"/>
      <c r="S40" s="1044"/>
      <c r="T40" s="1044"/>
    </row>
    <row r="41" spans="1:20" ht="21">
      <c r="A41" s="1123"/>
      <c r="B41" s="1118"/>
      <c r="C41" s="1012" t="s">
        <v>1279</v>
      </c>
      <c r="D41" s="1018" t="s">
        <v>1446</v>
      </c>
      <c r="E41" s="1044"/>
      <c r="F41" s="1044"/>
      <c r="G41" s="1044"/>
      <c r="H41" s="1044"/>
      <c r="I41" s="1044"/>
      <c r="J41" s="1044"/>
      <c r="K41" s="1044"/>
      <c r="L41" s="1044"/>
      <c r="M41" s="1088" t="s">
        <v>520</v>
      </c>
      <c r="N41" s="991">
        <v>0</v>
      </c>
      <c r="O41" s="1044"/>
      <c r="P41" s="1044"/>
      <c r="Q41" s="1044"/>
      <c r="R41" s="1044"/>
      <c r="S41" s="1044"/>
      <c r="T41" s="1044"/>
    </row>
    <row r="42" spans="1:20" ht="42">
      <c r="A42" s="1123"/>
      <c r="B42" s="1118"/>
      <c r="C42" s="1012" t="s">
        <v>1280</v>
      </c>
      <c r="D42" s="1018" t="s">
        <v>1446</v>
      </c>
      <c r="E42" s="1044"/>
      <c r="F42" s="1044"/>
      <c r="G42" s="1044"/>
      <c r="H42" s="1044"/>
      <c r="I42" s="1044"/>
      <c r="J42" s="1044"/>
      <c r="K42" s="1044"/>
      <c r="L42" s="1044"/>
      <c r="M42" s="1088" t="s">
        <v>520</v>
      </c>
      <c r="N42" s="991">
        <v>20000</v>
      </c>
      <c r="O42" s="1044"/>
      <c r="P42" s="1044"/>
      <c r="Q42" s="1044"/>
      <c r="R42" s="1044"/>
      <c r="S42" s="1044"/>
      <c r="T42" s="1044"/>
    </row>
    <row r="43" spans="1:20" ht="21">
      <c r="A43" s="1123"/>
      <c r="B43" s="1118"/>
      <c r="C43" s="1012" t="s">
        <v>1281</v>
      </c>
      <c r="D43" s="1018" t="s">
        <v>1446</v>
      </c>
      <c r="E43" s="1044"/>
      <c r="F43" s="1044"/>
      <c r="G43" s="1044"/>
      <c r="H43" s="1044"/>
      <c r="I43" s="1044"/>
      <c r="J43" s="1044"/>
      <c r="K43" s="1044"/>
      <c r="L43" s="1044"/>
      <c r="M43" s="1088" t="s">
        <v>520</v>
      </c>
      <c r="N43" s="991">
        <v>210000</v>
      </c>
      <c r="O43" s="1044"/>
      <c r="P43" s="1044"/>
      <c r="Q43" s="1044"/>
      <c r="R43" s="1044"/>
      <c r="S43" s="1044"/>
      <c r="T43" s="1044"/>
    </row>
    <row r="44" spans="1:20" ht="42">
      <c r="A44" s="1123"/>
      <c r="B44" s="1118"/>
      <c r="C44" s="1015" t="s">
        <v>1376</v>
      </c>
      <c r="D44" s="1018" t="s">
        <v>1446</v>
      </c>
      <c r="E44" s="1044"/>
      <c r="F44" s="1044"/>
      <c r="G44" s="1044"/>
      <c r="H44" s="1044"/>
      <c r="I44" s="1044"/>
      <c r="J44" s="1044"/>
      <c r="K44" s="1044"/>
      <c r="L44" s="1044"/>
      <c r="M44" s="1088" t="s">
        <v>520</v>
      </c>
      <c r="N44" s="1005">
        <f>4800+28800</f>
        <v>33600</v>
      </c>
      <c r="O44" s="1044"/>
      <c r="P44" s="1044"/>
      <c r="Q44" s="1044"/>
      <c r="R44" s="1044"/>
      <c r="S44" s="1044"/>
      <c r="T44" s="1044"/>
    </row>
    <row r="45" spans="1:20" ht="21">
      <c r="A45" s="1123"/>
      <c r="B45" s="1118"/>
      <c r="C45" s="1012" t="s">
        <v>1282</v>
      </c>
      <c r="D45" s="1018" t="s">
        <v>1446</v>
      </c>
      <c r="E45" s="1044"/>
      <c r="F45" s="1044"/>
      <c r="G45" s="1044"/>
      <c r="H45" s="1044"/>
      <c r="I45" s="1044"/>
      <c r="J45" s="1044"/>
      <c r="K45" s="1044"/>
      <c r="L45" s="1044"/>
      <c r="M45" s="1088" t="s">
        <v>520</v>
      </c>
      <c r="N45" s="991">
        <v>10800</v>
      </c>
      <c r="O45" s="1044"/>
      <c r="P45" s="1044"/>
      <c r="Q45" s="1044"/>
      <c r="R45" s="1044"/>
      <c r="S45" s="1044"/>
      <c r="T45" s="1044"/>
    </row>
    <row r="46" spans="1:20" ht="21">
      <c r="A46" s="1123"/>
      <c r="B46" s="1118"/>
      <c r="C46" s="1002" t="s">
        <v>1425</v>
      </c>
      <c r="D46" s="1018" t="s">
        <v>1446</v>
      </c>
      <c r="E46" s="1044"/>
      <c r="F46" s="1044"/>
      <c r="G46" s="1044"/>
      <c r="H46" s="1044"/>
      <c r="I46" s="1044"/>
      <c r="J46" s="1044"/>
      <c r="K46" s="1044"/>
      <c r="L46" s="1044"/>
      <c r="M46" s="1088" t="s">
        <v>520</v>
      </c>
      <c r="N46" s="1044"/>
      <c r="O46" s="1044"/>
      <c r="P46" s="1044"/>
      <c r="Q46" s="1044"/>
      <c r="R46" s="1044"/>
      <c r="S46" s="1044"/>
      <c r="T46" s="1044"/>
    </row>
    <row r="47" spans="1:20" ht="21">
      <c r="A47" s="1123"/>
      <c r="B47" s="1118"/>
      <c r="C47" s="1012" t="s">
        <v>1283</v>
      </c>
      <c r="D47" s="1018" t="s">
        <v>1446</v>
      </c>
      <c r="E47" s="1044"/>
      <c r="F47" s="1044"/>
      <c r="G47" s="1044"/>
      <c r="H47" s="1044"/>
      <c r="I47" s="1044"/>
      <c r="J47" s="1044"/>
      <c r="K47" s="1044"/>
      <c r="L47" s="1044"/>
      <c r="M47" s="1088" t="s">
        <v>520</v>
      </c>
      <c r="N47" s="991">
        <v>30000</v>
      </c>
      <c r="O47" s="1044"/>
      <c r="P47" s="1044"/>
      <c r="Q47" s="1044"/>
      <c r="R47" s="1044"/>
      <c r="S47" s="1044"/>
      <c r="T47" s="1044"/>
    </row>
    <row r="48" spans="1:20" ht="21">
      <c r="A48" s="1123"/>
      <c r="B48" s="1118"/>
      <c r="C48" s="1009" t="s">
        <v>1426</v>
      </c>
      <c r="D48" s="1018" t="s">
        <v>1446</v>
      </c>
      <c r="E48" s="1044"/>
      <c r="F48" s="1044"/>
      <c r="G48" s="1044"/>
      <c r="H48" s="1044"/>
      <c r="I48" s="1044"/>
      <c r="J48" s="1044"/>
      <c r="K48" s="1044"/>
      <c r="L48" s="1044"/>
      <c r="M48" s="1088" t="s">
        <v>520</v>
      </c>
      <c r="N48" s="991">
        <v>12000</v>
      </c>
      <c r="O48" s="1044"/>
      <c r="P48" s="1044"/>
      <c r="Q48" s="1044"/>
      <c r="R48" s="1044"/>
      <c r="S48" s="1044"/>
      <c r="T48" s="1044"/>
    </row>
    <row r="49" spans="1:20" ht="21">
      <c r="A49" s="1123"/>
      <c r="B49" s="1118"/>
      <c r="C49" s="1010" t="s">
        <v>1427</v>
      </c>
      <c r="D49" s="1018" t="s">
        <v>1446</v>
      </c>
      <c r="E49" s="1044"/>
      <c r="F49" s="1044"/>
      <c r="G49" s="1044"/>
      <c r="H49" s="1044"/>
      <c r="I49" s="1044"/>
      <c r="J49" s="1044"/>
      <c r="K49" s="1044"/>
      <c r="L49" s="1044"/>
      <c r="M49" s="1088" t="s">
        <v>520</v>
      </c>
      <c r="N49" s="1044"/>
      <c r="O49" s="1044"/>
      <c r="P49" s="1044"/>
      <c r="Q49" s="1044"/>
      <c r="R49" s="1044"/>
      <c r="S49" s="1044"/>
      <c r="T49" s="1044"/>
    </row>
    <row r="50" spans="1:20" ht="21.75" thickBot="1">
      <c r="A50" s="1124"/>
      <c r="B50" s="1125"/>
      <c r="C50" s="1057" t="s">
        <v>1383</v>
      </c>
      <c r="D50" s="1058" t="s">
        <v>1446</v>
      </c>
      <c r="E50" s="1056"/>
      <c r="F50" s="1056"/>
      <c r="G50" s="1056"/>
      <c r="H50" s="1056"/>
      <c r="I50" s="1056"/>
      <c r="J50" s="1056"/>
      <c r="K50" s="1056"/>
      <c r="L50" s="1056"/>
      <c r="M50" s="1089" t="s">
        <v>520</v>
      </c>
      <c r="N50" s="1059">
        <v>845400</v>
      </c>
      <c r="O50" s="1056"/>
      <c r="P50" s="1056"/>
      <c r="Q50" s="1056"/>
      <c r="R50" s="1056"/>
      <c r="S50" s="1056"/>
      <c r="T50" s="1056"/>
    </row>
    <row r="51" spans="1:20" ht="21">
      <c r="A51" s="1126">
        <v>2</v>
      </c>
      <c r="B51" s="1127" t="s">
        <v>55</v>
      </c>
      <c r="C51" s="1053" t="s">
        <v>1444</v>
      </c>
      <c r="D51" s="1070" t="s">
        <v>1453</v>
      </c>
      <c r="E51" s="1071"/>
      <c r="F51" s="1071"/>
      <c r="G51" s="1071"/>
      <c r="H51" s="1071"/>
      <c r="I51" s="1071"/>
      <c r="J51" s="1071"/>
      <c r="K51" s="1071"/>
      <c r="L51" s="1071"/>
      <c r="M51" s="1091"/>
      <c r="N51" s="1054">
        <f>SUM(N53:N58)</f>
        <v>50000</v>
      </c>
      <c r="O51" s="1055">
        <v>0</v>
      </c>
      <c r="P51" s="1071"/>
      <c r="Q51" s="1071"/>
      <c r="R51" s="1071"/>
      <c r="S51" s="1071"/>
      <c r="T51" s="1071"/>
    </row>
    <row r="52" spans="1:20" ht="21">
      <c r="A52" s="1128"/>
      <c r="B52" s="1128"/>
      <c r="C52" s="986" t="s">
        <v>1445</v>
      </c>
      <c r="D52" s="1061" t="s">
        <v>1453</v>
      </c>
      <c r="E52" s="1044"/>
      <c r="F52" s="1044"/>
      <c r="G52" s="1044"/>
      <c r="H52" s="1044"/>
      <c r="I52" s="1044"/>
      <c r="J52" s="1044"/>
      <c r="K52" s="1044"/>
      <c r="L52" s="1044"/>
      <c r="M52" s="1088"/>
      <c r="N52" s="993"/>
      <c r="O52" s="994"/>
      <c r="P52" s="1044"/>
      <c r="Q52" s="1044"/>
      <c r="R52" s="1044"/>
      <c r="S52" s="1044"/>
      <c r="T52" s="1044"/>
    </row>
    <row r="53" spans="1:20" ht="21">
      <c r="A53" s="1128"/>
      <c r="B53" s="1118"/>
      <c r="C53" s="1007" t="s">
        <v>1284</v>
      </c>
      <c r="D53" s="1061" t="s">
        <v>1453</v>
      </c>
      <c r="E53" s="1044"/>
      <c r="F53" s="1044"/>
      <c r="G53" s="1044"/>
      <c r="H53" s="1044"/>
      <c r="I53" s="1044"/>
      <c r="J53" s="1044"/>
      <c r="K53" s="1044"/>
      <c r="L53" s="1044"/>
      <c r="M53" s="1088" t="s">
        <v>1469</v>
      </c>
      <c r="N53" s="994">
        <f>600*6*2</f>
        <v>7200</v>
      </c>
      <c r="O53" s="994"/>
      <c r="P53" s="1044"/>
      <c r="Q53" s="1044"/>
      <c r="R53" s="1044"/>
      <c r="S53" s="1044"/>
      <c r="T53" s="1044"/>
    </row>
    <row r="54" spans="1:20" ht="21">
      <c r="A54" s="1129"/>
      <c r="B54" s="1118"/>
      <c r="C54" s="1007" t="s">
        <v>231</v>
      </c>
      <c r="D54" s="1061" t="s">
        <v>1453</v>
      </c>
      <c r="E54" s="1044"/>
      <c r="F54" s="1044"/>
      <c r="G54" s="1044"/>
      <c r="H54" s="1044"/>
      <c r="I54" s="1044"/>
      <c r="J54" s="1044"/>
      <c r="K54" s="1044"/>
      <c r="L54" s="1044"/>
      <c r="M54" s="1088" t="s">
        <v>1469</v>
      </c>
      <c r="N54" s="995">
        <f>25*45*4</f>
        <v>4500</v>
      </c>
      <c r="O54" s="995">
        <v>0</v>
      </c>
      <c r="P54" s="1044"/>
      <c r="Q54" s="1044"/>
      <c r="R54" s="1044"/>
      <c r="S54" s="1044"/>
      <c r="T54" s="1044"/>
    </row>
    <row r="55" spans="1:20" ht="21">
      <c r="A55" s="1129"/>
      <c r="B55" s="1118"/>
      <c r="C55" s="1007" t="s">
        <v>1285</v>
      </c>
      <c r="D55" s="1061" t="s">
        <v>1453</v>
      </c>
      <c r="E55" s="1044"/>
      <c r="F55" s="1044"/>
      <c r="G55" s="1044"/>
      <c r="H55" s="1044"/>
      <c r="I55" s="1044"/>
      <c r="J55" s="1044"/>
      <c r="K55" s="1044"/>
      <c r="L55" s="1044"/>
      <c r="M55" s="1088" t="s">
        <v>1469</v>
      </c>
      <c r="N55" s="995">
        <f>150*45*2</f>
        <v>13500</v>
      </c>
      <c r="O55" s="995"/>
      <c r="P55" s="1044"/>
      <c r="Q55" s="1044"/>
      <c r="R55" s="1044"/>
      <c r="S55" s="1044"/>
      <c r="T55" s="1044"/>
    </row>
    <row r="56" spans="1:20" ht="21">
      <c r="A56" s="1129"/>
      <c r="B56" s="1118"/>
      <c r="C56" s="1007" t="s">
        <v>1286</v>
      </c>
      <c r="D56" s="1061" t="s">
        <v>1453</v>
      </c>
      <c r="E56" s="1044"/>
      <c r="F56" s="1044"/>
      <c r="G56" s="1044"/>
      <c r="H56" s="1044"/>
      <c r="I56" s="1044"/>
      <c r="J56" s="1044"/>
      <c r="K56" s="1044"/>
      <c r="L56" s="1044"/>
      <c r="M56" s="1088" t="s">
        <v>1469</v>
      </c>
      <c r="N56" s="995">
        <f>8000*2</f>
        <v>16000</v>
      </c>
      <c r="O56" s="995">
        <v>0</v>
      </c>
      <c r="P56" s="1044"/>
      <c r="Q56" s="1044"/>
      <c r="R56" s="1044"/>
      <c r="S56" s="1044"/>
      <c r="T56" s="1044"/>
    </row>
    <row r="57" spans="1:20" ht="21">
      <c r="A57" s="1129"/>
      <c r="B57" s="1118"/>
      <c r="C57" s="1007" t="s">
        <v>164</v>
      </c>
      <c r="D57" s="1061" t="s">
        <v>1453</v>
      </c>
      <c r="E57" s="1044"/>
      <c r="F57" s="1044"/>
      <c r="G57" s="1044"/>
      <c r="H57" s="1044"/>
      <c r="I57" s="1044"/>
      <c r="J57" s="1044"/>
      <c r="K57" s="1044"/>
      <c r="L57" s="1044"/>
      <c r="M57" s="1088" t="s">
        <v>1469</v>
      </c>
      <c r="N57" s="995">
        <f>1200*2*2</f>
        <v>4800</v>
      </c>
      <c r="O57" s="995">
        <v>0</v>
      </c>
      <c r="P57" s="1044"/>
      <c r="Q57" s="1044"/>
      <c r="R57" s="1044"/>
      <c r="S57" s="1044"/>
      <c r="T57" s="1044"/>
    </row>
    <row r="58" spans="1:20" ht="21">
      <c r="A58" s="1065"/>
      <c r="B58" s="1091"/>
      <c r="C58" s="1066" t="s">
        <v>1454</v>
      </c>
      <c r="D58" s="1061" t="s">
        <v>1453</v>
      </c>
      <c r="E58" s="1060"/>
      <c r="F58" s="1060"/>
      <c r="G58" s="1060"/>
      <c r="H58" s="1060"/>
      <c r="I58" s="1060"/>
      <c r="J58" s="1060"/>
      <c r="K58" s="1060"/>
      <c r="L58" s="1060"/>
      <c r="M58" s="1088" t="s">
        <v>1469</v>
      </c>
      <c r="N58" s="1067">
        <v>4000</v>
      </c>
      <c r="O58" s="1067">
        <v>0</v>
      </c>
      <c r="P58" s="1060"/>
      <c r="Q58" s="1060"/>
      <c r="R58" s="1060"/>
      <c r="S58" s="1060"/>
      <c r="T58" s="1060"/>
    </row>
    <row r="59" spans="1:20" ht="21.75" thickBot="1">
      <c r="A59" s="1130"/>
      <c r="B59" s="1125"/>
      <c r="C59" s="1068" t="s">
        <v>1455</v>
      </c>
      <c r="D59" s="1058" t="s">
        <v>1453</v>
      </c>
      <c r="E59" s="1056"/>
      <c r="F59" s="1056"/>
      <c r="G59" s="1056"/>
      <c r="H59" s="1056"/>
      <c r="I59" s="1056"/>
      <c r="J59" s="1056"/>
      <c r="K59" s="1056"/>
      <c r="L59" s="1056"/>
      <c r="M59" s="1089" t="s">
        <v>1469</v>
      </c>
      <c r="N59" s="1069"/>
      <c r="O59" s="1069"/>
      <c r="P59" s="1056"/>
      <c r="Q59" s="1056"/>
      <c r="R59" s="1056"/>
      <c r="S59" s="1056"/>
      <c r="T59" s="1056"/>
    </row>
    <row r="60" spans="1:20" ht="21">
      <c r="A60" s="1131">
        <v>3</v>
      </c>
      <c r="B60" s="1132" t="s">
        <v>577</v>
      </c>
      <c r="C60" s="1062" t="s">
        <v>1287</v>
      </c>
      <c r="D60" s="1075" t="s">
        <v>1456</v>
      </c>
      <c r="E60" s="1071"/>
      <c r="F60" s="1071"/>
      <c r="G60" s="1071"/>
      <c r="H60" s="1071"/>
      <c r="I60" s="1071"/>
      <c r="J60" s="1071"/>
      <c r="K60" s="1071"/>
      <c r="L60" s="1071"/>
      <c r="M60" s="1091"/>
      <c r="N60" s="1063">
        <v>100000</v>
      </c>
      <c r="O60" s="1064">
        <v>0</v>
      </c>
      <c r="P60" s="1071"/>
      <c r="Q60" s="1071"/>
      <c r="R60" s="1071"/>
      <c r="S60" s="1071"/>
      <c r="T60" s="1071"/>
    </row>
    <row r="61" spans="1:20" ht="21">
      <c r="A61" s="1117"/>
      <c r="B61" s="1118"/>
      <c r="C61" s="985" t="s">
        <v>1384</v>
      </c>
      <c r="D61" s="1072" t="s">
        <v>1456</v>
      </c>
      <c r="E61" s="1044"/>
      <c r="F61" s="1044"/>
      <c r="G61" s="1044"/>
      <c r="H61" s="1044"/>
      <c r="I61" s="1044"/>
      <c r="J61" s="1044"/>
      <c r="K61" s="1044"/>
      <c r="L61" s="1044"/>
      <c r="M61" s="1088" t="s">
        <v>1469</v>
      </c>
      <c r="N61" s="991">
        <v>100000</v>
      </c>
      <c r="O61" s="991">
        <v>0</v>
      </c>
      <c r="P61" s="1044"/>
      <c r="Q61" s="1044"/>
      <c r="R61" s="1044"/>
      <c r="S61" s="1044"/>
      <c r="T61" s="1044"/>
    </row>
    <row r="62" spans="1:20" ht="21">
      <c r="A62" s="1117"/>
      <c r="B62" s="1118"/>
      <c r="C62" s="1009" t="s">
        <v>1288</v>
      </c>
      <c r="D62" s="1072" t="s">
        <v>1456</v>
      </c>
      <c r="E62" s="1044"/>
      <c r="F62" s="1044"/>
      <c r="G62" s="1044"/>
      <c r="H62" s="1044"/>
      <c r="I62" s="1044"/>
      <c r="J62" s="1044"/>
      <c r="K62" s="1044"/>
      <c r="L62" s="1044"/>
      <c r="M62" s="1088" t="s">
        <v>1469</v>
      </c>
      <c r="N62" s="991">
        <v>12000</v>
      </c>
      <c r="O62" s="991">
        <v>0</v>
      </c>
      <c r="P62" s="1044"/>
      <c r="Q62" s="1044"/>
      <c r="R62" s="1044"/>
      <c r="S62" s="1044"/>
      <c r="T62" s="1044"/>
    </row>
    <row r="63" spans="1:20" ht="21">
      <c r="A63" s="1117"/>
      <c r="B63" s="1118"/>
      <c r="C63" s="1009" t="s">
        <v>1289</v>
      </c>
      <c r="D63" s="1072" t="s">
        <v>1456</v>
      </c>
      <c r="E63" s="1044"/>
      <c r="F63" s="1044"/>
      <c r="G63" s="1044"/>
      <c r="H63" s="1044"/>
      <c r="I63" s="1044"/>
      <c r="J63" s="1044"/>
      <c r="K63" s="1044"/>
      <c r="L63" s="1044"/>
      <c r="M63" s="1088" t="s">
        <v>1469</v>
      </c>
      <c r="N63" s="991">
        <v>25000</v>
      </c>
      <c r="O63" s="991">
        <v>0</v>
      </c>
      <c r="P63" s="1044"/>
      <c r="Q63" s="1044"/>
      <c r="R63" s="1044"/>
      <c r="S63" s="1044"/>
      <c r="T63" s="1044"/>
    </row>
    <row r="64" spans="1:20" ht="21">
      <c r="A64" s="1117"/>
      <c r="B64" s="1118"/>
      <c r="C64" s="1009" t="s">
        <v>1286</v>
      </c>
      <c r="D64" s="1072" t="s">
        <v>1456</v>
      </c>
      <c r="E64" s="1044"/>
      <c r="F64" s="1044"/>
      <c r="G64" s="1044"/>
      <c r="H64" s="1044"/>
      <c r="I64" s="1044"/>
      <c r="J64" s="1044"/>
      <c r="K64" s="1044"/>
      <c r="L64" s="1044"/>
      <c r="M64" s="1088" t="s">
        <v>1469</v>
      </c>
      <c r="N64" s="991">
        <v>13000</v>
      </c>
      <c r="O64" s="991">
        <v>0</v>
      </c>
      <c r="P64" s="1044"/>
      <c r="Q64" s="1044"/>
      <c r="R64" s="1044"/>
      <c r="S64" s="1044"/>
      <c r="T64" s="1044"/>
    </row>
    <row r="65" spans="1:20" ht="21.75" thickBot="1">
      <c r="A65" s="1133"/>
      <c r="B65" s="1125"/>
      <c r="C65" s="1076" t="s">
        <v>1290</v>
      </c>
      <c r="D65" s="1077" t="s">
        <v>1456</v>
      </c>
      <c r="E65" s="1056"/>
      <c r="F65" s="1056"/>
      <c r="G65" s="1056"/>
      <c r="H65" s="1056"/>
      <c r="I65" s="1056"/>
      <c r="J65" s="1056"/>
      <c r="K65" s="1056"/>
      <c r="L65" s="1056"/>
      <c r="M65" s="1089" t="s">
        <v>1469</v>
      </c>
      <c r="N65" s="1078">
        <v>50000</v>
      </c>
      <c r="O65" s="1078">
        <v>0</v>
      </c>
      <c r="P65" s="1056"/>
      <c r="Q65" s="1056"/>
      <c r="R65" s="1056"/>
      <c r="S65" s="1056"/>
      <c r="T65" s="1056"/>
    </row>
    <row r="66" spans="1:20" ht="21">
      <c r="A66" s="1131">
        <v>4</v>
      </c>
      <c r="B66" s="1132" t="s">
        <v>1442</v>
      </c>
      <c r="C66" s="1062" t="s">
        <v>1291</v>
      </c>
      <c r="D66" s="1070" t="s">
        <v>1457</v>
      </c>
      <c r="E66" s="1071"/>
      <c r="F66" s="1071"/>
      <c r="G66" s="1071"/>
      <c r="H66" s="1071"/>
      <c r="I66" s="1071"/>
      <c r="J66" s="1071"/>
      <c r="K66" s="1071"/>
      <c r="L66" s="1071"/>
      <c r="M66" s="1088" t="s">
        <v>1469</v>
      </c>
      <c r="N66" s="1063">
        <v>1180000</v>
      </c>
      <c r="O66" s="1064">
        <v>0</v>
      </c>
      <c r="P66" s="1071"/>
      <c r="Q66" s="1071"/>
      <c r="R66" s="1071"/>
      <c r="S66" s="1071"/>
      <c r="T66" s="1071"/>
    </row>
    <row r="67" spans="1:20" ht="21">
      <c r="A67" s="1115"/>
      <c r="B67" s="1116" t="s">
        <v>1443</v>
      </c>
      <c r="C67" s="985" t="s">
        <v>1297</v>
      </c>
      <c r="D67" s="1061" t="s">
        <v>1457</v>
      </c>
      <c r="E67" s="1044"/>
      <c r="F67" s="1044"/>
      <c r="G67" s="1044"/>
      <c r="H67" s="1044"/>
      <c r="I67" s="1044"/>
      <c r="J67" s="1044"/>
      <c r="K67" s="1044"/>
      <c r="L67" s="1044"/>
      <c r="M67" s="1088" t="s">
        <v>1469</v>
      </c>
      <c r="N67" s="996">
        <v>870000</v>
      </c>
      <c r="O67" s="996">
        <v>0</v>
      </c>
      <c r="P67" s="1044"/>
      <c r="Q67" s="1044"/>
      <c r="R67" s="1044"/>
      <c r="S67" s="1044"/>
      <c r="T67" s="1044"/>
    </row>
    <row r="68" spans="1:20" ht="21">
      <c r="A68" s="1115"/>
      <c r="B68" s="1118"/>
      <c r="C68" s="1009" t="s">
        <v>1385</v>
      </c>
      <c r="D68" s="1061" t="s">
        <v>1457</v>
      </c>
      <c r="E68" s="1044"/>
      <c r="F68" s="1044"/>
      <c r="G68" s="1044"/>
      <c r="H68" s="1044"/>
      <c r="I68" s="1044"/>
      <c r="J68" s="1044"/>
      <c r="K68" s="1044"/>
      <c r="L68" s="1044"/>
      <c r="M68" s="1088" t="s">
        <v>1469</v>
      </c>
      <c r="N68" s="996"/>
      <c r="O68" s="996"/>
      <c r="P68" s="1044"/>
      <c r="Q68" s="1044"/>
      <c r="R68" s="1044"/>
      <c r="S68" s="1044"/>
      <c r="T68" s="1044"/>
    </row>
    <row r="69" spans="1:20" ht="42">
      <c r="A69" s="1117"/>
      <c r="B69" s="1118"/>
      <c r="C69" s="1011" t="s">
        <v>1292</v>
      </c>
      <c r="D69" s="1061" t="s">
        <v>1457</v>
      </c>
      <c r="E69" s="1044"/>
      <c r="F69" s="1044"/>
      <c r="G69" s="1044"/>
      <c r="H69" s="1044"/>
      <c r="I69" s="1044"/>
      <c r="J69" s="1044"/>
      <c r="K69" s="1044"/>
      <c r="L69" s="1044"/>
      <c r="M69" s="1088" t="s">
        <v>1469</v>
      </c>
      <c r="N69" s="991">
        <v>280000</v>
      </c>
      <c r="O69" s="991">
        <v>0</v>
      </c>
      <c r="P69" s="1044"/>
      <c r="Q69" s="1044"/>
      <c r="R69" s="1044"/>
      <c r="S69" s="1044"/>
      <c r="T69" s="1044"/>
    </row>
    <row r="70" spans="1:20" ht="42">
      <c r="A70" s="1117"/>
      <c r="B70" s="1118"/>
      <c r="C70" s="1011" t="s">
        <v>1293</v>
      </c>
      <c r="D70" s="1061" t="s">
        <v>1457</v>
      </c>
      <c r="E70" s="1044"/>
      <c r="F70" s="1044"/>
      <c r="G70" s="1044"/>
      <c r="H70" s="1044"/>
      <c r="I70" s="1044"/>
      <c r="J70" s="1044"/>
      <c r="K70" s="1044"/>
      <c r="L70" s="1044"/>
      <c r="M70" s="1088" t="s">
        <v>1469</v>
      </c>
      <c r="N70" s="991">
        <v>490000</v>
      </c>
      <c r="O70" s="991">
        <v>0</v>
      </c>
      <c r="P70" s="1044"/>
      <c r="Q70" s="1044"/>
      <c r="R70" s="1044"/>
      <c r="S70" s="1044"/>
      <c r="T70" s="1044"/>
    </row>
    <row r="71" spans="1:20" ht="21">
      <c r="A71" s="1117"/>
      <c r="B71" s="1118"/>
      <c r="C71" s="1009" t="s">
        <v>1386</v>
      </c>
      <c r="D71" s="1061" t="s">
        <v>1457</v>
      </c>
      <c r="E71" s="1044"/>
      <c r="F71" s="1044"/>
      <c r="G71" s="1044"/>
      <c r="H71" s="1044"/>
      <c r="I71" s="1044"/>
      <c r="J71" s="1044"/>
      <c r="K71" s="1044"/>
      <c r="L71" s="1044"/>
      <c r="M71" s="1088" t="s">
        <v>1469</v>
      </c>
      <c r="N71" s="991"/>
      <c r="O71" s="991"/>
      <c r="P71" s="1044"/>
      <c r="Q71" s="1044"/>
      <c r="R71" s="1044"/>
      <c r="S71" s="1044"/>
      <c r="T71" s="1044"/>
    </row>
    <row r="72" spans="1:20" ht="42">
      <c r="A72" s="1117"/>
      <c r="B72" s="1118"/>
      <c r="C72" s="1011" t="s">
        <v>1294</v>
      </c>
      <c r="D72" s="1061" t="s">
        <v>1457</v>
      </c>
      <c r="E72" s="1044"/>
      <c r="F72" s="1044"/>
      <c r="G72" s="1044"/>
      <c r="H72" s="1044"/>
      <c r="I72" s="1044"/>
      <c r="J72" s="1044"/>
      <c r="K72" s="1044"/>
      <c r="L72" s="1044"/>
      <c r="M72" s="1088" t="s">
        <v>1469</v>
      </c>
      <c r="N72" s="991">
        <v>20000</v>
      </c>
      <c r="O72" s="991">
        <v>0</v>
      </c>
      <c r="P72" s="1044"/>
      <c r="Q72" s="1044"/>
      <c r="R72" s="1044"/>
      <c r="S72" s="1044"/>
      <c r="T72" s="1044"/>
    </row>
    <row r="73" spans="1:20" ht="42">
      <c r="A73" s="1117"/>
      <c r="B73" s="1118"/>
      <c r="C73" s="1011" t="s">
        <v>1295</v>
      </c>
      <c r="D73" s="1061" t="s">
        <v>1457</v>
      </c>
      <c r="E73" s="1044"/>
      <c r="F73" s="1044"/>
      <c r="G73" s="1044"/>
      <c r="H73" s="1044"/>
      <c r="I73" s="1044"/>
      <c r="J73" s="1044"/>
      <c r="K73" s="1044"/>
      <c r="L73" s="1044"/>
      <c r="M73" s="1088" t="s">
        <v>1469</v>
      </c>
      <c r="N73" s="991">
        <v>45000</v>
      </c>
      <c r="O73" s="991">
        <v>0</v>
      </c>
      <c r="P73" s="1044"/>
      <c r="Q73" s="1044"/>
      <c r="R73" s="1044"/>
      <c r="S73" s="1044"/>
      <c r="T73" s="1044"/>
    </row>
    <row r="74" spans="1:20" ht="21">
      <c r="A74" s="1117"/>
      <c r="B74" s="1118"/>
      <c r="C74" s="1011" t="s">
        <v>1282</v>
      </c>
      <c r="D74" s="1061" t="s">
        <v>1457</v>
      </c>
      <c r="E74" s="1044"/>
      <c r="F74" s="1044"/>
      <c r="G74" s="1044"/>
      <c r="H74" s="1044"/>
      <c r="I74" s="1044"/>
      <c r="J74" s="1044"/>
      <c r="K74" s="1044"/>
      <c r="L74" s="1044"/>
      <c r="M74" s="1088" t="s">
        <v>1469</v>
      </c>
      <c r="N74" s="991">
        <v>35000</v>
      </c>
      <c r="O74" s="991">
        <v>0</v>
      </c>
      <c r="P74" s="1044"/>
      <c r="Q74" s="1044"/>
      <c r="R74" s="1044"/>
      <c r="S74" s="1044"/>
      <c r="T74" s="1044"/>
    </row>
    <row r="75" spans="1:20" ht="63.75" thickBot="1">
      <c r="A75" s="1134"/>
      <c r="B75" s="1125"/>
      <c r="C75" s="1076" t="s">
        <v>1387</v>
      </c>
      <c r="D75" s="1058" t="s">
        <v>1457</v>
      </c>
      <c r="E75" s="1056"/>
      <c r="F75" s="1056"/>
      <c r="G75" s="1056"/>
      <c r="H75" s="1056"/>
      <c r="I75" s="1056"/>
      <c r="J75" s="1056"/>
      <c r="K75" s="1056"/>
      <c r="L75" s="1056"/>
      <c r="M75" s="1089" t="s">
        <v>1469</v>
      </c>
      <c r="N75" s="1080">
        <v>310000</v>
      </c>
      <c r="O75" s="1080">
        <v>0</v>
      </c>
      <c r="P75" s="1056"/>
      <c r="Q75" s="1056"/>
      <c r="R75" s="1056"/>
      <c r="S75" s="1056"/>
      <c r="T75" s="1056"/>
    </row>
    <row r="76" spans="1:20" ht="21">
      <c r="A76" s="1131">
        <v>5</v>
      </c>
      <c r="B76" s="1132" t="s">
        <v>1460</v>
      </c>
      <c r="C76" s="1062" t="s">
        <v>1296</v>
      </c>
      <c r="D76" s="1079" t="s">
        <v>1458</v>
      </c>
      <c r="E76" s="1071"/>
      <c r="F76" s="1071"/>
      <c r="G76" s="1071"/>
      <c r="H76" s="1071"/>
      <c r="I76" s="1071"/>
      <c r="J76" s="1071"/>
      <c r="K76" s="1071"/>
      <c r="L76" s="1071"/>
      <c r="M76" s="1091" t="s">
        <v>520</v>
      </c>
      <c r="N76" s="1064">
        <v>160500</v>
      </c>
      <c r="O76" s="1071"/>
      <c r="P76" s="1071"/>
      <c r="Q76" s="1071"/>
      <c r="R76" s="1071"/>
      <c r="S76" s="1071"/>
      <c r="T76" s="1071"/>
    </row>
    <row r="77" spans="1:20" ht="21">
      <c r="A77" s="1115"/>
      <c r="B77" s="1116" t="s">
        <v>1461</v>
      </c>
      <c r="C77" s="985" t="s">
        <v>1388</v>
      </c>
      <c r="D77" s="1018" t="s">
        <v>1458</v>
      </c>
      <c r="E77" s="1044"/>
      <c r="F77" s="1044"/>
      <c r="G77" s="1044"/>
      <c r="H77" s="1044"/>
      <c r="I77" s="1044"/>
      <c r="J77" s="1044"/>
      <c r="K77" s="1044"/>
      <c r="L77" s="1044"/>
      <c r="M77" s="1088" t="s">
        <v>520</v>
      </c>
      <c r="N77" s="996"/>
      <c r="O77" s="1044"/>
      <c r="P77" s="1044"/>
      <c r="Q77" s="1044"/>
      <c r="R77" s="1044"/>
      <c r="S77" s="1044"/>
      <c r="T77" s="1044"/>
    </row>
    <row r="78" spans="1:20" ht="21">
      <c r="A78" s="1115"/>
      <c r="B78" s="1118"/>
      <c r="C78" s="985" t="s">
        <v>1389</v>
      </c>
      <c r="D78" s="1018" t="s">
        <v>1458</v>
      </c>
      <c r="E78" s="1044"/>
      <c r="F78" s="1044"/>
      <c r="G78" s="1044"/>
      <c r="H78" s="1044"/>
      <c r="I78" s="1044"/>
      <c r="J78" s="1044"/>
      <c r="K78" s="1044"/>
      <c r="L78" s="1044"/>
      <c r="M78" s="1088" t="s">
        <v>520</v>
      </c>
      <c r="N78" s="991">
        <v>20500</v>
      </c>
      <c r="O78" s="1044"/>
      <c r="P78" s="1044"/>
      <c r="Q78" s="1044"/>
      <c r="R78" s="1044"/>
      <c r="S78" s="1044"/>
      <c r="T78" s="1044"/>
    </row>
    <row r="79" spans="1:20" ht="21">
      <c r="A79" s="1115"/>
      <c r="B79" s="1091"/>
      <c r="C79" s="985" t="s">
        <v>1390</v>
      </c>
      <c r="D79" s="1018" t="s">
        <v>1458</v>
      </c>
      <c r="E79" s="1044"/>
      <c r="F79" s="1044"/>
      <c r="G79" s="1044"/>
      <c r="H79" s="1044"/>
      <c r="I79" s="1044"/>
      <c r="J79" s="1044"/>
      <c r="K79" s="1044"/>
      <c r="L79" s="1044"/>
      <c r="M79" s="1088" t="s">
        <v>520</v>
      </c>
      <c r="N79" s="991"/>
      <c r="O79" s="1044"/>
      <c r="P79" s="1044"/>
      <c r="Q79" s="1044"/>
      <c r="R79" s="1044"/>
      <c r="S79" s="1044"/>
      <c r="T79" s="1044"/>
    </row>
    <row r="80" spans="1:20" ht="37.5">
      <c r="A80" s="1135"/>
      <c r="B80" s="1088" t="s">
        <v>365</v>
      </c>
      <c r="C80" s="1074" t="s">
        <v>1298</v>
      </c>
      <c r="D80" s="1018" t="s">
        <v>1458</v>
      </c>
      <c r="E80" s="1044"/>
      <c r="F80" s="1044"/>
      <c r="G80" s="1044"/>
      <c r="H80" s="1044"/>
      <c r="I80" s="1044"/>
      <c r="J80" s="1044"/>
      <c r="K80" s="1044"/>
      <c r="L80" s="1044"/>
      <c r="M80" s="1088" t="s">
        <v>520</v>
      </c>
      <c r="N80" s="992">
        <v>10000</v>
      </c>
      <c r="O80" s="1044"/>
      <c r="P80" s="1044"/>
      <c r="Q80" s="1044"/>
      <c r="R80" s="1044"/>
      <c r="S80" s="1044"/>
      <c r="T80" s="1044"/>
    </row>
    <row r="81" spans="1:20" ht="37.5">
      <c r="A81" s="1135"/>
      <c r="B81" s="1088" t="s">
        <v>365</v>
      </c>
      <c r="C81" s="1074" t="s">
        <v>1299</v>
      </c>
      <c r="D81" s="1018" t="s">
        <v>1458</v>
      </c>
      <c r="E81" s="1044"/>
      <c r="F81" s="1044"/>
      <c r="G81" s="1044"/>
      <c r="H81" s="1044"/>
      <c r="I81" s="1044"/>
      <c r="J81" s="1044"/>
      <c r="K81" s="1044"/>
      <c r="L81" s="1044"/>
      <c r="M81" s="1088" t="s">
        <v>520</v>
      </c>
      <c r="N81" s="992">
        <v>20000</v>
      </c>
      <c r="O81" s="1044"/>
      <c r="P81" s="1044"/>
      <c r="Q81" s="1044"/>
      <c r="R81" s="1044"/>
      <c r="S81" s="1044"/>
      <c r="T81" s="1044"/>
    </row>
    <row r="82" spans="1:20" ht="37.5">
      <c r="A82" s="1135"/>
      <c r="B82" s="1088" t="s">
        <v>365</v>
      </c>
      <c r="C82" s="1074" t="s">
        <v>1300</v>
      </c>
      <c r="D82" s="1018" t="s">
        <v>1458</v>
      </c>
      <c r="E82" s="1044"/>
      <c r="F82" s="1044"/>
      <c r="G82" s="1044"/>
      <c r="H82" s="1044"/>
      <c r="I82" s="1044"/>
      <c r="J82" s="1044"/>
      <c r="K82" s="1044"/>
      <c r="L82" s="1044"/>
      <c r="M82" s="1088" t="s">
        <v>520</v>
      </c>
      <c r="N82" s="992">
        <v>20000</v>
      </c>
      <c r="O82" s="1044"/>
      <c r="P82" s="1044"/>
      <c r="Q82" s="1044"/>
      <c r="R82" s="1044"/>
      <c r="S82" s="1044"/>
      <c r="T82" s="1044"/>
    </row>
    <row r="83" spans="1:20" ht="37.5">
      <c r="A83" s="1144"/>
      <c r="B83" s="1088" t="s">
        <v>365</v>
      </c>
      <c r="C83" s="1074" t="s">
        <v>1301</v>
      </c>
      <c r="D83" s="1018" t="s">
        <v>1458</v>
      </c>
      <c r="E83" s="1044"/>
      <c r="F83" s="1044"/>
      <c r="G83" s="1044"/>
      <c r="H83" s="1044"/>
      <c r="I83" s="1044"/>
      <c r="J83" s="1044"/>
      <c r="K83" s="1044"/>
      <c r="L83" s="1044"/>
      <c r="M83" s="1088" t="s">
        <v>520</v>
      </c>
      <c r="N83" s="992">
        <v>20000</v>
      </c>
      <c r="O83" s="1044"/>
      <c r="P83" s="1044"/>
      <c r="Q83" s="1044"/>
      <c r="R83" s="1044"/>
      <c r="S83" s="1044"/>
      <c r="T83" s="1044"/>
    </row>
    <row r="84" spans="1:20" ht="37.5">
      <c r="A84" s="1135"/>
      <c r="B84" s="1091" t="s">
        <v>365</v>
      </c>
      <c r="C84" s="1142" t="s">
        <v>1302</v>
      </c>
      <c r="D84" s="1079" t="s">
        <v>1458</v>
      </c>
      <c r="E84" s="1071"/>
      <c r="F84" s="1071"/>
      <c r="G84" s="1071"/>
      <c r="H84" s="1071"/>
      <c r="I84" s="1071"/>
      <c r="J84" s="1071"/>
      <c r="K84" s="1071"/>
      <c r="L84" s="1071"/>
      <c r="M84" s="1091" t="s">
        <v>520</v>
      </c>
      <c r="N84" s="1143">
        <v>40000</v>
      </c>
      <c r="O84" s="1071"/>
      <c r="P84" s="1071"/>
      <c r="Q84" s="1071"/>
      <c r="R84" s="1071"/>
      <c r="S84" s="1071"/>
      <c r="T84" s="1071"/>
    </row>
    <row r="85" spans="1:20" ht="38.25" thickBot="1">
      <c r="A85" s="1134"/>
      <c r="B85" s="1089" t="s">
        <v>365</v>
      </c>
      <c r="C85" s="1081" t="s">
        <v>1303</v>
      </c>
      <c r="D85" s="1058" t="s">
        <v>1458</v>
      </c>
      <c r="E85" s="1056"/>
      <c r="F85" s="1056"/>
      <c r="G85" s="1056"/>
      <c r="H85" s="1056"/>
      <c r="I85" s="1056"/>
      <c r="J85" s="1056"/>
      <c r="K85" s="1056"/>
      <c r="L85" s="1056"/>
      <c r="M85" s="1089" t="s">
        <v>520</v>
      </c>
      <c r="N85" s="1080">
        <v>30000</v>
      </c>
      <c r="O85" s="1056"/>
      <c r="P85" s="1056"/>
      <c r="Q85" s="1056"/>
      <c r="R85" s="1056"/>
      <c r="S85" s="1056"/>
      <c r="T85" s="1056"/>
    </row>
    <row r="86" spans="1:20" ht="21">
      <c r="A86" s="1131">
        <v>6</v>
      </c>
      <c r="B86" s="1132" t="s">
        <v>1462</v>
      </c>
      <c r="C86" s="1062" t="s">
        <v>219</v>
      </c>
      <c r="D86" s="1079" t="s">
        <v>1459</v>
      </c>
      <c r="E86" s="1071"/>
      <c r="F86" s="1071"/>
      <c r="G86" s="1071"/>
      <c r="H86" s="1071"/>
      <c r="I86" s="1071"/>
      <c r="J86" s="1071"/>
      <c r="K86" s="1071"/>
      <c r="L86" s="1071"/>
      <c r="M86" s="1091" t="s">
        <v>520</v>
      </c>
      <c r="N86" s="1064">
        <f>SUM(N87:N92)</f>
        <v>200000</v>
      </c>
      <c r="O86" s="1071"/>
      <c r="P86" s="1071"/>
      <c r="Q86" s="1071"/>
      <c r="R86" s="1071"/>
      <c r="S86" s="1071"/>
      <c r="T86" s="1071"/>
    </row>
    <row r="87" spans="1:20" ht="21">
      <c r="A87" s="1117"/>
      <c r="B87" s="1116" t="s">
        <v>1464</v>
      </c>
      <c r="C87" s="985" t="s">
        <v>1391</v>
      </c>
      <c r="D87" s="1018" t="s">
        <v>1459</v>
      </c>
      <c r="E87" s="1044"/>
      <c r="F87" s="1044"/>
      <c r="G87" s="1044"/>
      <c r="H87" s="1044"/>
      <c r="I87" s="1044"/>
      <c r="J87" s="1044"/>
      <c r="K87" s="1044"/>
      <c r="L87" s="1044"/>
      <c r="M87" s="1088" t="s">
        <v>520</v>
      </c>
      <c r="N87" s="991">
        <v>0</v>
      </c>
      <c r="O87" s="1044"/>
      <c r="P87" s="1044"/>
      <c r="Q87" s="1044"/>
      <c r="R87" s="1044"/>
      <c r="S87" s="1044"/>
      <c r="T87" s="1044"/>
    </row>
    <row r="88" spans="1:20" ht="21">
      <c r="A88" s="1117"/>
      <c r="B88" s="1118"/>
      <c r="C88" s="985" t="s">
        <v>1304</v>
      </c>
      <c r="D88" s="1018" t="s">
        <v>1459</v>
      </c>
      <c r="E88" s="1044"/>
      <c r="F88" s="1044"/>
      <c r="G88" s="1044"/>
      <c r="H88" s="1044"/>
      <c r="I88" s="1044"/>
      <c r="J88" s="1044"/>
      <c r="K88" s="1044"/>
      <c r="L88" s="1044"/>
      <c r="M88" s="1088" t="s">
        <v>520</v>
      </c>
      <c r="N88" s="991"/>
      <c r="O88" s="1044"/>
      <c r="P88" s="1044"/>
      <c r="Q88" s="1044"/>
      <c r="R88" s="1044"/>
      <c r="S88" s="1044"/>
      <c r="T88" s="1044"/>
    </row>
    <row r="89" spans="1:20" ht="42">
      <c r="A89" s="1117"/>
      <c r="B89" s="1118"/>
      <c r="C89" s="1013" t="s">
        <v>1392</v>
      </c>
      <c r="D89" s="1018" t="s">
        <v>1459</v>
      </c>
      <c r="E89" s="1044"/>
      <c r="F89" s="1044"/>
      <c r="G89" s="1044"/>
      <c r="H89" s="1044"/>
      <c r="I89" s="1044"/>
      <c r="J89" s="1044"/>
      <c r="K89" s="1044"/>
      <c r="L89" s="1044"/>
      <c r="M89" s="1088" t="s">
        <v>520</v>
      </c>
      <c r="N89" s="1005">
        <v>6400</v>
      </c>
      <c r="O89" s="1044"/>
      <c r="P89" s="1044"/>
      <c r="Q89" s="1044"/>
      <c r="R89" s="1044"/>
      <c r="S89" s="1044"/>
      <c r="T89" s="1044"/>
    </row>
    <row r="90" spans="1:20" ht="21">
      <c r="A90" s="1117"/>
      <c r="B90" s="1118"/>
      <c r="C90" s="1002" t="s">
        <v>1393</v>
      </c>
      <c r="D90" s="1018" t="s">
        <v>1459</v>
      </c>
      <c r="E90" s="1044"/>
      <c r="F90" s="1044"/>
      <c r="G90" s="1044"/>
      <c r="H90" s="1044"/>
      <c r="I90" s="1044"/>
      <c r="J90" s="1044"/>
      <c r="K90" s="1044"/>
      <c r="L90" s="1044"/>
      <c r="M90" s="1088" t="s">
        <v>520</v>
      </c>
      <c r="N90" s="991">
        <v>7600</v>
      </c>
      <c r="O90" s="1044"/>
      <c r="P90" s="1044"/>
      <c r="Q90" s="1044"/>
      <c r="R90" s="1044"/>
      <c r="S90" s="1044"/>
      <c r="T90" s="1044"/>
    </row>
    <row r="91" spans="1:20" ht="21">
      <c r="A91" s="1117"/>
      <c r="B91" s="1118"/>
      <c r="C91" s="1006" t="s">
        <v>1394</v>
      </c>
      <c r="D91" s="1018" t="s">
        <v>1459</v>
      </c>
      <c r="E91" s="1044"/>
      <c r="F91" s="1044"/>
      <c r="G91" s="1044"/>
      <c r="H91" s="1044"/>
      <c r="I91" s="1044"/>
      <c r="J91" s="1044"/>
      <c r="K91" s="1044"/>
      <c r="L91" s="1044"/>
      <c r="M91" s="1088" t="s">
        <v>520</v>
      </c>
      <c r="N91" s="1005"/>
      <c r="O91" s="1044"/>
      <c r="P91" s="1044"/>
      <c r="Q91" s="1044"/>
      <c r="R91" s="1044"/>
      <c r="S91" s="1044"/>
      <c r="T91" s="1044"/>
    </row>
    <row r="92" spans="1:20" ht="21.75" thickBot="1">
      <c r="A92" s="1133"/>
      <c r="B92" s="1125"/>
      <c r="C92" s="1082" t="s">
        <v>1395</v>
      </c>
      <c r="D92" s="1058" t="s">
        <v>1459</v>
      </c>
      <c r="E92" s="1056"/>
      <c r="F92" s="1056"/>
      <c r="G92" s="1056"/>
      <c r="H92" s="1056"/>
      <c r="I92" s="1056"/>
      <c r="J92" s="1056"/>
      <c r="K92" s="1056"/>
      <c r="L92" s="1056"/>
      <c r="M92" s="1089" t="s">
        <v>520</v>
      </c>
      <c r="N92" s="1083">
        <v>186000</v>
      </c>
      <c r="O92" s="1056"/>
      <c r="P92" s="1056"/>
      <c r="Q92" s="1056"/>
      <c r="R92" s="1056"/>
      <c r="S92" s="1056"/>
      <c r="T92" s="1056"/>
    </row>
    <row r="93" spans="1:20" ht="42">
      <c r="A93" s="1131">
        <v>7</v>
      </c>
      <c r="B93" s="1132" t="s">
        <v>1463</v>
      </c>
      <c r="C93" s="1062" t="s">
        <v>229</v>
      </c>
      <c r="D93" s="1018" t="s">
        <v>1470</v>
      </c>
      <c r="E93" s="1071"/>
      <c r="F93" s="1071"/>
      <c r="G93" s="1071"/>
      <c r="H93" s="1071"/>
      <c r="I93" s="1071"/>
      <c r="J93" s="1071"/>
      <c r="K93" s="1071"/>
      <c r="L93" s="1071"/>
      <c r="M93" s="1091" t="s">
        <v>520</v>
      </c>
      <c r="N93" s="1064">
        <f>SUM(N94:N120)</f>
        <v>1400000</v>
      </c>
      <c r="O93" s="1071"/>
      <c r="P93" s="1071"/>
      <c r="Q93" s="1071"/>
      <c r="R93" s="1071"/>
      <c r="S93" s="1071"/>
      <c r="T93" s="1071"/>
    </row>
    <row r="94" spans="1:20" ht="21">
      <c r="A94" s="1117"/>
      <c r="B94" s="1118"/>
      <c r="C94" s="1006" t="s">
        <v>1396</v>
      </c>
      <c r="D94" s="1018" t="s">
        <v>1470</v>
      </c>
      <c r="E94" s="1044"/>
      <c r="F94" s="1044"/>
      <c r="G94" s="1044"/>
      <c r="H94" s="1044"/>
      <c r="I94" s="1044"/>
      <c r="J94" s="1044"/>
      <c r="K94" s="1044"/>
      <c r="L94" s="1044"/>
      <c r="M94" s="1088" t="s">
        <v>520</v>
      </c>
      <c r="N94" s="1005">
        <v>113300</v>
      </c>
      <c r="O94" s="1044"/>
      <c r="P94" s="1044"/>
      <c r="Q94" s="1044"/>
      <c r="R94" s="1044"/>
      <c r="S94" s="1044"/>
      <c r="T94" s="1044"/>
    </row>
    <row r="95" spans="1:20" ht="21">
      <c r="A95" s="1117"/>
      <c r="B95" s="1118"/>
      <c r="C95" s="985" t="s">
        <v>1397</v>
      </c>
      <c r="D95" s="1018" t="s">
        <v>1470</v>
      </c>
      <c r="E95" s="1044"/>
      <c r="F95" s="1044"/>
      <c r="G95" s="1044"/>
      <c r="H95" s="1044"/>
      <c r="I95" s="1044"/>
      <c r="J95" s="1044"/>
      <c r="K95" s="1044"/>
      <c r="L95" s="1044"/>
      <c r="M95" s="1088" t="s">
        <v>520</v>
      </c>
      <c r="N95" s="991"/>
      <c r="O95" s="1044"/>
      <c r="P95" s="1044"/>
      <c r="Q95" s="1044"/>
      <c r="R95" s="1044"/>
      <c r="S95" s="1044"/>
      <c r="T95" s="1044"/>
    </row>
    <row r="96" spans="1:20" ht="21">
      <c r="A96" s="1117"/>
      <c r="B96" s="1118"/>
      <c r="C96" s="1009" t="s">
        <v>1398</v>
      </c>
      <c r="D96" s="1018" t="s">
        <v>1470</v>
      </c>
      <c r="E96" s="1044"/>
      <c r="F96" s="1044"/>
      <c r="G96" s="1044"/>
      <c r="H96" s="1044"/>
      <c r="I96" s="1044"/>
      <c r="J96" s="1044"/>
      <c r="K96" s="1044"/>
      <c r="L96" s="1044"/>
      <c r="M96" s="1088" t="s">
        <v>520</v>
      </c>
      <c r="N96" s="991"/>
      <c r="O96" s="1044"/>
      <c r="P96" s="1044"/>
      <c r="Q96" s="1044"/>
      <c r="R96" s="1044"/>
      <c r="S96" s="1044"/>
      <c r="T96" s="1044"/>
    </row>
    <row r="97" spans="1:20" ht="21">
      <c r="A97" s="1117"/>
      <c r="B97" s="1118"/>
      <c r="C97" s="1011" t="s">
        <v>1305</v>
      </c>
      <c r="D97" s="1018" t="s">
        <v>1470</v>
      </c>
      <c r="E97" s="1044"/>
      <c r="F97" s="1044"/>
      <c r="G97" s="1044"/>
      <c r="H97" s="1044"/>
      <c r="I97" s="1044"/>
      <c r="J97" s="1044"/>
      <c r="K97" s="1044"/>
      <c r="L97" s="1044"/>
      <c r="M97" s="1088" t="s">
        <v>520</v>
      </c>
      <c r="N97" s="991">
        <v>10000</v>
      </c>
      <c r="O97" s="1044"/>
      <c r="P97" s="1044"/>
      <c r="Q97" s="1044"/>
      <c r="R97" s="1044"/>
      <c r="S97" s="1044"/>
      <c r="T97" s="1044"/>
    </row>
    <row r="98" spans="1:20" ht="42">
      <c r="A98" s="1117"/>
      <c r="B98" s="1118"/>
      <c r="C98" s="1011" t="s">
        <v>1277</v>
      </c>
      <c r="D98" s="1018" t="s">
        <v>1470</v>
      </c>
      <c r="E98" s="1044"/>
      <c r="F98" s="1044"/>
      <c r="G98" s="1044"/>
      <c r="H98" s="1044"/>
      <c r="I98" s="1044"/>
      <c r="J98" s="1044"/>
      <c r="K98" s="1044"/>
      <c r="L98" s="1044"/>
      <c r="M98" s="1088" t="s">
        <v>520</v>
      </c>
      <c r="N98" s="991">
        <v>50000</v>
      </c>
      <c r="O98" s="1044"/>
      <c r="P98" s="1044"/>
      <c r="Q98" s="1044"/>
      <c r="R98" s="1044"/>
      <c r="S98" s="1044"/>
      <c r="T98" s="1044"/>
    </row>
    <row r="99" spans="1:20" ht="21">
      <c r="A99" s="1117"/>
      <c r="B99" s="1118"/>
      <c r="C99" s="1009" t="s">
        <v>1399</v>
      </c>
      <c r="D99" s="1018" t="s">
        <v>1470</v>
      </c>
      <c r="E99" s="1044"/>
      <c r="F99" s="1044"/>
      <c r="G99" s="1044"/>
      <c r="H99" s="1044"/>
      <c r="I99" s="1044"/>
      <c r="J99" s="1044"/>
      <c r="K99" s="1044"/>
      <c r="L99" s="1044"/>
      <c r="M99" s="1088" t="s">
        <v>520</v>
      </c>
      <c r="N99" s="991"/>
      <c r="O99" s="1044"/>
      <c r="P99" s="1044"/>
      <c r="Q99" s="1044"/>
      <c r="R99" s="1044"/>
      <c r="S99" s="1044"/>
      <c r="T99" s="1044"/>
    </row>
    <row r="100" spans="1:20" ht="21">
      <c r="A100" s="1117"/>
      <c r="B100" s="1118"/>
      <c r="C100" s="1011" t="s">
        <v>1306</v>
      </c>
      <c r="D100" s="1018" t="s">
        <v>1470</v>
      </c>
      <c r="E100" s="1044"/>
      <c r="F100" s="1044"/>
      <c r="G100" s="1044"/>
      <c r="H100" s="1044"/>
      <c r="I100" s="1044"/>
      <c r="J100" s="1044"/>
      <c r="K100" s="1044"/>
      <c r="L100" s="1044"/>
      <c r="M100" s="1088" t="s">
        <v>520</v>
      </c>
      <c r="N100" s="991">
        <v>120000</v>
      </c>
      <c r="O100" s="1044"/>
      <c r="P100" s="1044"/>
      <c r="Q100" s="1044"/>
      <c r="R100" s="1044"/>
      <c r="S100" s="1044"/>
      <c r="T100" s="1044"/>
    </row>
    <row r="101" spans="1:20" ht="21">
      <c r="A101" s="1117"/>
      <c r="B101" s="1118"/>
      <c r="C101" s="1011" t="s">
        <v>1307</v>
      </c>
      <c r="D101" s="1018" t="s">
        <v>1470</v>
      </c>
      <c r="E101" s="1044"/>
      <c r="F101" s="1044"/>
      <c r="G101" s="1044"/>
      <c r="H101" s="1044"/>
      <c r="I101" s="1044"/>
      <c r="J101" s="1044"/>
      <c r="K101" s="1044"/>
      <c r="L101" s="1044"/>
      <c r="M101" s="1088" t="s">
        <v>520</v>
      </c>
      <c r="N101" s="991">
        <v>150000</v>
      </c>
      <c r="O101" s="1044"/>
      <c r="P101" s="1044"/>
      <c r="Q101" s="1044"/>
      <c r="R101" s="1044"/>
      <c r="S101" s="1044"/>
      <c r="T101" s="1044"/>
    </row>
    <row r="102" spans="1:20" ht="21">
      <c r="A102" s="1117"/>
      <c r="B102" s="1118"/>
      <c r="C102" s="1011" t="s">
        <v>231</v>
      </c>
      <c r="D102" s="1018" t="s">
        <v>1470</v>
      </c>
      <c r="E102" s="1044"/>
      <c r="F102" s="1044"/>
      <c r="G102" s="1044"/>
      <c r="H102" s="1044"/>
      <c r="I102" s="1044"/>
      <c r="J102" s="1044"/>
      <c r="K102" s="1044"/>
      <c r="L102" s="1044"/>
      <c r="M102" s="1088" t="s">
        <v>520</v>
      </c>
      <c r="N102" s="991">
        <v>100000</v>
      </c>
      <c r="O102" s="1044"/>
      <c r="P102" s="1044"/>
      <c r="Q102" s="1044"/>
      <c r="R102" s="1044"/>
      <c r="S102" s="1044"/>
      <c r="T102" s="1044"/>
    </row>
    <row r="103" spans="1:20" ht="21">
      <c r="A103" s="1117"/>
      <c r="B103" s="1118"/>
      <c r="C103" s="1011" t="s">
        <v>232</v>
      </c>
      <c r="D103" s="1018" t="s">
        <v>1470</v>
      </c>
      <c r="E103" s="1044"/>
      <c r="F103" s="1044"/>
      <c r="G103" s="1044"/>
      <c r="H103" s="1044"/>
      <c r="I103" s="1044"/>
      <c r="J103" s="1044"/>
      <c r="K103" s="1044"/>
      <c r="L103" s="1044"/>
      <c r="M103" s="1088" t="s">
        <v>520</v>
      </c>
      <c r="N103" s="991">
        <v>120000</v>
      </c>
      <c r="O103" s="1044"/>
      <c r="P103" s="1044"/>
      <c r="Q103" s="1044"/>
      <c r="R103" s="1044"/>
      <c r="S103" s="1044"/>
      <c r="T103" s="1044"/>
    </row>
    <row r="104" spans="1:20" ht="21">
      <c r="A104" s="1117"/>
      <c r="B104" s="1118"/>
      <c r="C104" s="1014" t="s">
        <v>1400</v>
      </c>
      <c r="D104" s="1018" t="s">
        <v>1470</v>
      </c>
      <c r="E104" s="1044"/>
      <c r="F104" s="1044"/>
      <c r="G104" s="1044"/>
      <c r="H104" s="1044"/>
      <c r="I104" s="1044"/>
      <c r="J104" s="1044"/>
      <c r="K104" s="1044"/>
      <c r="L104" s="1044"/>
      <c r="M104" s="1088" t="s">
        <v>520</v>
      </c>
      <c r="N104" s="1005">
        <v>4744</v>
      </c>
      <c r="O104" s="1044"/>
      <c r="P104" s="1044"/>
      <c r="Q104" s="1044"/>
      <c r="R104" s="1044"/>
      <c r="S104" s="1044"/>
      <c r="T104" s="1044"/>
    </row>
    <row r="105" spans="1:20" ht="21">
      <c r="A105" s="1117"/>
      <c r="B105" s="1118"/>
      <c r="C105" s="1011" t="s">
        <v>225</v>
      </c>
      <c r="D105" s="1018" t="s">
        <v>1470</v>
      </c>
      <c r="E105" s="1044"/>
      <c r="F105" s="1044"/>
      <c r="G105" s="1044"/>
      <c r="H105" s="1044"/>
      <c r="I105" s="1044"/>
      <c r="J105" s="1044"/>
      <c r="K105" s="1044"/>
      <c r="L105" s="1044"/>
      <c r="M105" s="1088" t="s">
        <v>520</v>
      </c>
      <c r="N105" s="991">
        <v>80000</v>
      </c>
      <c r="O105" s="1044"/>
      <c r="P105" s="1044"/>
      <c r="Q105" s="1044"/>
      <c r="R105" s="1044"/>
      <c r="S105" s="1044"/>
      <c r="T105" s="1044"/>
    </row>
    <row r="106" spans="1:20" ht="21">
      <c r="A106" s="1117"/>
      <c r="B106" s="1118"/>
      <c r="C106" s="1009" t="s">
        <v>1401</v>
      </c>
      <c r="D106" s="1018" t="s">
        <v>1470</v>
      </c>
      <c r="E106" s="1044"/>
      <c r="F106" s="1044"/>
      <c r="G106" s="1044"/>
      <c r="H106" s="1044"/>
      <c r="I106" s="1044"/>
      <c r="J106" s="1044"/>
      <c r="K106" s="1044"/>
      <c r="L106" s="1044"/>
      <c r="M106" s="1088" t="s">
        <v>520</v>
      </c>
      <c r="N106" s="991"/>
      <c r="O106" s="1044"/>
      <c r="P106" s="1044"/>
      <c r="Q106" s="1044"/>
      <c r="R106" s="1044"/>
      <c r="S106" s="1044"/>
      <c r="T106" s="1044"/>
    </row>
    <row r="107" spans="1:20" ht="21">
      <c r="A107" s="1117"/>
      <c r="B107" s="1118"/>
      <c r="C107" s="1011" t="s">
        <v>76</v>
      </c>
      <c r="D107" s="1018" t="s">
        <v>1470</v>
      </c>
      <c r="E107" s="1044"/>
      <c r="F107" s="1044"/>
      <c r="G107" s="1044"/>
      <c r="H107" s="1044"/>
      <c r="I107" s="1044"/>
      <c r="J107" s="1044"/>
      <c r="K107" s="1044"/>
      <c r="L107" s="1044"/>
      <c r="M107" s="1088" t="s">
        <v>520</v>
      </c>
      <c r="N107" s="991">
        <v>100000</v>
      </c>
      <c r="O107" s="1044"/>
      <c r="P107" s="1044"/>
      <c r="Q107" s="1044"/>
      <c r="R107" s="1044"/>
      <c r="S107" s="1044"/>
      <c r="T107" s="1044"/>
    </row>
    <row r="108" spans="1:20" ht="21">
      <c r="A108" s="1117"/>
      <c r="B108" s="1118"/>
      <c r="C108" s="1011" t="s">
        <v>226</v>
      </c>
      <c r="D108" s="1018" t="s">
        <v>1470</v>
      </c>
      <c r="E108" s="1044"/>
      <c r="F108" s="1044"/>
      <c r="G108" s="1044"/>
      <c r="H108" s="1044"/>
      <c r="I108" s="1044"/>
      <c r="J108" s="1044"/>
      <c r="K108" s="1044"/>
      <c r="L108" s="1044"/>
      <c r="M108" s="1088" t="s">
        <v>520</v>
      </c>
      <c r="N108" s="991">
        <v>50000</v>
      </c>
      <c r="O108" s="1044"/>
      <c r="P108" s="1044"/>
      <c r="Q108" s="1044"/>
      <c r="R108" s="1044"/>
      <c r="S108" s="1044"/>
      <c r="T108" s="1044"/>
    </row>
    <row r="109" spans="1:20" ht="21">
      <c r="A109" s="1117"/>
      <c r="B109" s="1118"/>
      <c r="C109" s="1011" t="s">
        <v>72</v>
      </c>
      <c r="D109" s="1018" t="s">
        <v>1470</v>
      </c>
      <c r="E109" s="1044"/>
      <c r="F109" s="1044"/>
      <c r="G109" s="1044"/>
      <c r="H109" s="1044"/>
      <c r="I109" s="1044"/>
      <c r="J109" s="1044"/>
      <c r="K109" s="1044"/>
      <c r="L109" s="1044"/>
      <c r="M109" s="1088" t="s">
        <v>520</v>
      </c>
      <c r="N109" s="991">
        <v>30000</v>
      </c>
      <c r="O109" s="1044"/>
      <c r="P109" s="1044"/>
      <c r="Q109" s="1044"/>
      <c r="R109" s="1044"/>
      <c r="S109" s="1044"/>
      <c r="T109" s="1044"/>
    </row>
    <row r="110" spans="1:20" ht="21">
      <c r="A110" s="1117"/>
      <c r="B110" s="1118"/>
      <c r="C110" s="1011" t="s">
        <v>64</v>
      </c>
      <c r="D110" s="1018" t="s">
        <v>1470</v>
      </c>
      <c r="E110" s="1044"/>
      <c r="F110" s="1044"/>
      <c r="G110" s="1044"/>
      <c r="H110" s="1044"/>
      <c r="I110" s="1044"/>
      <c r="J110" s="1044"/>
      <c r="K110" s="1044"/>
      <c r="L110" s="1044"/>
      <c r="M110" s="1088" t="s">
        <v>520</v>
      </c>
      <c r="N110" s="991">
        <v>20000</v>
      </c>
      <c r="O110" s="1044"/>
      <c r="P110" s="1044"/>
      <c r="Q110" s="1044"/>
      <c r="R110" s="1044"/>
      <c r="S110" s="1044"/>
      <c r="T110" s="1044"/>
    </row>
    <row r="111" spans="1:20" ht="21">
      <c r="A111" s="1117"/>
      <c r="B111" s="1118"/>
      <c r="C111" s="1011" t="s">
        <v>227</v>
      </c>
      <c r="D111" s="1018" t="s">
        <v>1470</v>
      </c>
      <c r="E111" s="1044"/>
      <c r="F111" s="1044"/>
      <c r="G111" s="1044"/>
      <c r="H111" s="1044"/>
      <c r="I111" s="1044"/>
      <c r="J111" s="1044"/>
      <c r="K111" s="1044"/>
      <c r="L111" s="1044"/>
      <c r="M111" s="1088" t="s">
        <v>520</v>
      </c>
      <c r="N111" s="991">
        <v>20000</v>
      </c>
      <c r="O111" s="1044"/>
      <c r="P111" s="1044"/>
      <c r="Q111" s="1044"/>
      <c r="R111" s="1044"/>
      <c r="S111" s="1044"/>
      <c r="T111" s="1044"/>
    </row>
    <row r="112" spans="1:20" ht="21">
      <c r="A112" s="1117"/>
      <c r="B112" s="1118"/>
      <c r="C112" s="1011" t="s">
        <v>233</v>
      </c>
      <c r="D112" s="1018" t="s">
        <v>1470</v>
      </c>
      <c r="E112" s="1044"/>
      <c r="F112" s="1044"/>
      <c r="G112" s="1044"/>
      <c r="H112" s="1044"/>
      <c r="I112" s="1044"/>
      <c r="J112" s="1044"/>
      <c r="K112" s="1044"/>
      <c r="L112" s="1044"/>
      <c r="M112" s="1088" t="s">
        <v>520</v>
      </c>
      <c r="N112" s="991">
        <v>5000</v>
      </c>
      <c r="O112" s="1044"/>
      <c r="P112" s="1044"/>
      <c r="Q112" s="1044"/>
      <c r="R112" s="1044"/>
      <c r="S112" s="1044"/>
      <c r="T112" s="1044"/>
    </row>
    <row r="113" spans="1:20" ht="21">
      <c r="A113" s="1117"/>
      <c r="B113" s="1118"/>
      <c r="C113" s="1011" t="s">
        <v>1308</v>
      </c>
      <c r="D113" s="1018" t="s">
        <v>1470</v>
      </c>
      <c r="E113" s="1044"/>
      <c r="F113" s="1044"/>
      <c r="G113" s="1044"/>
      <c r="H113" s="1044"/>
      <c r="I113" s="1044"/>
      <c r="J113" s="1044"/>
      <c r="K113" s="1044"/>
      <c r="L113" s="1044"/>
      <c r="M113" s="1088" t="s">
        <v>520</v>
      </c>
      <c r="N113" s="991">
        <v>50000</v>
      </c>
      <c r="O113" s="1044"/>
      <c r="P113" s="1044"/>
      <c r="Q113" s="1044"/>
      <c r="R113" s="1044"/>
      <c r="S113" s="1044"/>
      <c r="T113" s="1044"/>
    </row>
    <row r="114" spans="1:20" ht="21">
      <c r="A114" s="1003"/>
      <c r="B114" s="1091"/>
      <c r="C114" s="1011" t="s">
        <v>234</v>
      </c>
      <c r="D114" s="1018" t="s">
        <v>1470</v>
      </c>
      <c r="E114" s="1044"/>
      <c r="F114" s="1044"/>
      <c r="G114" s="1044"/>
      <c r="H114" s="1044"/>
      <c r="I114" s="1044"/>
      <c r="J114" s="1044"/>
      <c r="K114" s="1044"/>
      <c r="L114" s="1044"/>
      <c r="M114" s="1088" t="s">
        <v>520</v>
      </c>
      <c r="N114" s="991">
        <v>10000</v>
      </c>
      <c r="O114" s="1044"/>
      <c r="P114" s="1044"/>
      <c r="Q114" s="1044"/>
      <c r="R114" s="1044"/>
      <c r="S114" s="1044"/>
      <c r="T114" s="1044"/>
    </row>
    <row r="115" spans="1:20" ht="21">
      <c r="A115" s="1117"/>
      <c r="B115" s="1118"/>
      <c r="C115" s="1136" t="s">
        <v>78</v>
      </c>
      <c r="D115" s="1018" t="s">
        <v>1470</v>
      </c>
      <c r="E115" s="1044"/>
      <c r="F115" s="1044"/>
      <c r="G115" s="1044"/>
      <c r="H115" s="1044"/>
      <c r="I115" s="1044"/>
      <c r="J115" s="1044"/>
      <c r="K115" s="1044"/>
      <c r="L115" s="1044"/>
      <c r="M115" s="1088" t="s">
        <v>520</v>
      </c>
      <c r="N115" s="991">
        <v>20000</v>
      </c>
      <c r="O115" s="1044"/>
      <c r="P115" s="1044"/>
      <c r="Q115" s="1044"/>
      <c r="R115" s="1044"/>
      <c r="S115" s="1044"/>
      <c r="T115" s="1044"/>
    </row>
    <row r="116" spans="1:20" ht="21">
      <c r="A116" s="1117"/>
      <c r="B116" s="1118"/>
      <c r="C116" s="1009" t="s">
        <v>1402</v>
      </c>
      <c r="D116" s="1018" t="s">
        <v>1470</v>
      </c>
      <c r="E116" s="1044"/>
      <c r="F116" s="1044"/>
      <c r="G116" s="1044"/>
      <c r="H116" s="1044"/>
      <c r="I116" s="1044"/>
      <c r="J116" s="1044"/>
      <c r="K116" s="1044"/>
      <c r="L116" s="1044"/>
      <c r="M116" s="1088" t="s">
        <v>520</v>
      </c>
      <c r="N116" s="991">
        <v>200000</v>
      </c>
      <c r="O116" s="1044"/>
      <c r="P116" s="1044"/>
      <c r="Q116" s="1044"/>
      <c r="R116" s="1044"/>
      <c r="S116" s="1044"/>
      <c r="T116" s="1044"/>
    </row>
    <row r="117" spans="1:20" ht="21">
      <c r="A117" s="1117"/>
      <c r="B117" s="1118"/>
      <c r="C117" s="1009" t="s">
        <v>1403</v>
      </c>
      <c r="D117" s="1018" t="s">
        <v>1470</v>
      </c>
      <c r="E117" s="1044"/>
      <c r="F117" s="1044"/>
      <c r="G117" s="1044"/>
      <c r="H117" s="1044"/>
      <c r="I117" s="1044"/>
      <c r="J117" s="1044"/>
      <c r="K117" s="1044"/>
      <c r="L117" s="1044"/>
      <c r="M117" s="1088" t="s">
        <v>520</v>
      </c>
      <c r="N117" s="991">
        <v>10000</v>
      </c>
      <c r="O117" s="1044"/>
      <c r="P117" s="1044"/>
      <c r="Q117" s="1044"/>
      <c r="R117" s="1044"/>
      <c r="S117" s="1044"/>
      <c r="T117" s="1044"/>
    </row>
    <row r="118" spans="1:20" ht="21">
      <c r="A118" s="1117"/>
      <c r="B118" s="1118"/>
      <c r="C118" s="1009" t="s">
        <v>1404</v>
      </c>
      <c r="D118" s="1018" t="s">
        <v>1470</v>
      </c>
      <c r="E118" s="1044"/>
      <c r="F118" s="1044"/>
      <c r="G118" s="1044"/>
      <c r="H118" s="1044"/>
      <c r="I118" s="1044"/>
      <c r="J118" s="1044"/>
      <c r="K118" s="1044"/>
      <c r="L118" s="1044"/>
      <c r="M118" s="1088" t="s">
        <v>520</v>
      </c>
      <c r="N118" s="991">
        <v>100000</v>
      </c>
      <c r="O118" s="1044"/>
      <c r="P118" s="1044"/>
      <c r="Q118" s="1044"/>
      <c r="R118" s="1044"/>
      <c r="S118" s="1044"/>
      <c r="T118" s="1044"/>
    </row>
    <row r="119" spans="1:20" ht="56.25">
      <c r="A119" s="1135"/>
      <c r="B119" s="1118"/>
      <c r="C119" s="1074" t="s">
        <v>1309</v>
      </c>
      <c r="D119" s="1018" t="s">
        <v>1470</v>
      </c>
      <c r="E119" s="1044"/>
      <c r="F119" s="1044"/>
      <c r="G119" s="1044"/>
      <c r="H119" s="1044"/>
      <c r="I119" s="1044"/>
      <c r="J119" s="1044"/>
      <c r="K119" s="1044"/>
      <c r="L119" s="1044"/>
      <c r="M119" s="1088" t="s">
        <v>520</v>
      </c>
      <c r="N119" s="992"/>
      <c r="O119" s="1044"/>
      <c r="P119" s="1044"/>
      <c r="Q119" s="1044"/>
      <c r="R119" s="1044"/>
      <c r="S119" s="1044"/>
      <c r="T119" s="1044"/>
    </row>
    <row r="120" spans="1:20" ht="21.75" thickBot="1">
      <c r="A120" s="1133"/>
      <c r="B120" s="1125"/>
      <c r="C120" s="1076" t="s">
        <v>1405</v>
      </c>
      <c r="D120" s="1058" t="s">
        <v>1470</v>
      </c>
      <c r="E120" s="1056"/>
      <c r="F120" s="1056"/>
      <c r="G120" s="1056"/>
      <c r="H120" s="1056"/>
      <c r="I120" s="1056"/>
      <c r="J120" s="1056"/>
      <c r="K120" s="1056"/>
      <c r="L120" s="1056"/>
      <c r="M120" s="1089" t="s">
        <v>520</v>
      </c>
      <c r="N120" s="1078">
        <v>36956</v>
      </c>
      <c r="O120" s="1056"/>
      <c r="P120" s="1056"/>
      <c r="Q120" s="1056"/>
      <c r="R120" s="1056"/>
      <c r="S120" s="1056"/>
      <c r="T120" s="1056"/>
    </row>
    <row r="121" spans="1:20" ht="42">
      <c r="A121" s="1131">
        <v>8</v>
      </c>
      <c r="B121" s="1085" t="s">
        <v>577</v>
      </c>
      <c r="C121" s="1062" t="s">
        <v>1310</v>
      </c>
      <c r="D121" s="1018" t="s">
        <v>1471</v>
      </c>
      <c r="E121" s="1071"/>
      <c r="F121" s="1071"/>
      <c r="G121" s="1071"/>
      <c r="H121" s="1071"/>
      <c r="I121" s="1071"/>
      <c r="J121" s="1071"/>
      <c r="K121" s="1071"/>
      <c r="L121" s="1071"/>
      <c r="M121" s="1091" t="s">
        <v>520</v>
      </c>
      <c r="N121" s="1064">
        <f>N122+N137+N168</f>
        <v>4691000</v>
      </c>
      <c r="O121" s="1071"/>
      <c r="P121" s="1071"/>
      <c r="Q121" s="1071"/>
      <c r="R121" s="1071"/>
      <c r="S121" s="1071"/>
      <c r="T121" s="1071"/>
    </row>
    <row r="122" spans="1:20" ht="42">
      <c r="A122" s="1115"/>
      <c r="B122" s="1090" t="s">
        <v>577</v>
      </c>
      <c r="C122" s="987" t="s">
        <v>1406</v>
      </c>
      <c r="D122" s="1018" t="s">
        <v>1471</v>
      </c>
      <c r="E122" s="1044"/>
      <c r="F122" s="1044"/>
      <c r="G122" s="1044"/>
      <c r="H122" s="1044"/>
      <c r="I122" s="1044"/>
      <c r="J122" s="1044"/>
      <c r="K122" s="1044"/>
      <c r="L122" s="1044"/>
      <c r="M122" s="1088" t="s">
        <v>520</v>
      </c>
      <c r="N122" s="996">
        <f>SUM(N123:N136)</f>
        <v>2080300</v>
      </c>
      <c r="O122" s="1044"/>
      <c r="P122" s="1044"/>
      <c r="Q122" s="1044"/>
      <c r="R122" s="1044"/>
      <c r="S122" s="1044"/>
      <c r="T122" s="1044"/>
    </row>
    <row r="123" spans="1:20" ht="21">
      <c r="A123" s="1117"/>
      <c r="B123" s="1118"/>
      <c r="C123" s="1010" t="s">
        <v>1407</v>
      </c>
      <c r="D123" s="1018" t="s">
        <v>1471</v>
      </c>
      <c r="E123" s="1044"/>
      <c r="F123" s="1044"/>
      <c r="G123" s="1044"/>
      <c r="H123" s="1044"/>
      <c r="I123" s="1044"/>
      <c r="J123" s="1044"/>
      <c r="K123" s="1044"/>
      <c r="L123" s="1044"/>
      <c r="M123" s="1088" t="s">
        <v>520</v>
      </c>
      <c r="N123" s="1005">
        <v>0</v>
      </c>
      <c r="O123" s="1044"/>
      <c r="P123" s="1044"/>
      <c r="Q123" s="1044"/>
      <c r="R123" s="1044"/>
      <c r="S123" s="1044"/>
      <c r="T123" s="1044"/>
    </row>
    <row r="124" spans="1:20" ht="21">
      <c r="A124" s="1117"/>
      <c r="B124" s="1118"/>
      <c r="C124" s="1010" t="s">
        <v>1408</v>
      </c>
      <c r="D124" s="1018" t="s">
        <v>1471</v>
      </c>
      <c r="E124" s="1044"/>
      <c r="F124" s="1044"/>
      <c r="G124" s="1044"/>
      <c r="H124" s="1044"/>
      <c r="I124" s="1044"/>
      <c r="J124" s="1044"/>
      <c r="K124" s="1044"/>
      <c r="L124" s="1044"/>
      <c r="M124" s="1088" t="s">
        <v>520</v>
      </c>
      <c r="N124" s="1005">
        <v>443280</v>
      </c>
      <c r="O124" s="1044"/>
      <c r="P124" s="1044"/>
      <c r="Q124" s="1044"/>
      <c r="R124" s="1044"/>
      <c r="S124" s="1044"/>
      <c r="T124" s="1044"/>
    </row>
    <row r="125" spans="1:20" ht="21">
      <c r="A125" s="1117"/>
      <c r="B125" s="1118"/>
      <c r="C125" s="1009" t="s">
        <v>1409</v>
      </c>
      <c r="D125" s="1018" t="s">
        <v>1471</v>
      </c>
      <c r="E125" s="1044"/>
      <c r="F125" s="1044"/>
      <c r="G125" s="1044"/>
      <c r="H125" s="1044"/>
      <c r="I125" s="1044"/>
      <c r="J125" s="1044"/>
      <c r="K125" s="1044"/>
      <c r="L125" s="1044"/>
      <c r="M125" s="1088" t="s">
        <v>520</v>
      </c>
      <c r="N125" s="991" t="s">
        <v>34</v>
      </c>
      <c r="O125" s="1044"/>
      <c r="P125" s="1044"/>
      <c r="Q125" s="1044"/>
      <c r="R125" s="1044"/>
      <c r="S125" s="1044"/>
      <c r="T125" s="1044"/>
    </row>
    <row r="126" spans="1:20" ht="42">
      <c r="A126" s="1117"/>
      <c r="B126" s="1118"/>
      <c r="C126" s="1011" t="s">
        <v>1277</v>
      </c>
      <c r="D126" s="1018" t="s">
        <v>1471</v>
      </c>
      <c r="E126" s="1044"/>
      <c r="F126" s="1044"/>
      <c r="G126" s="1044"/>
      <c r="H126" s="1044"/>
      <c r="I126" s="1044"/>
      <c r="J126" s="1044"/>
      <c r="K126" s="1044"/>
      <c r="L126" s="1044"/>
      <c r="M126" s="1088" t="s">
        <v>520</v>
      </c>
      <c r="N126" s="991">
        <v>30000</v>
      </c>
      <c r="O126" s="1044"/>
      <c r="P126" s="1044"/>
      <c r="Q126" s="1044"/>
      <c r="R126" s="1044"/>
      <c r="S126" s="1044"/>
      <c r="T126" s="1044"/>
    </row>
    <row r="127" spans="1:20" ht="21">
      <c r="A127" s="1117"/>
      <c r="B127" s="1118"/>
      <c r="C127" s="1011" t="s">
        <v>1311</v>
      </c>
      <c r="D127" s="1018" t="s">
        <v>1471</v>
      </c>
      <c r="E127" s="1044"/>
      <c r="F127" s="1044"/>
      <c r="G127" s="1044"/>
      <c r="H127" s="1044"/>
      <c r="I127" s="1044"/>
      <c r="J127" s="1044"/>
      <c r="K127" s="1044"/>
      <c r="L127" s="1044"/>
      <c r="M127" s="1088" t="s">
        <v>520</v>
      </c>
      <c r="N127" s="991">
        <v>20000</v>
      </c>
      <c r="O127" s="1044"/>
      <c r="P127" s="1044"/>
      <c r="Q127" s="1044"/>
      <c r="R127" s="1044"/>
      <c r="S127" s="1044"/>
      <c r="T127" s="1044"/>
    </row>
    <row r="128" spans="1:20" ht="21">
      <c r="A128" s="1117"/>
      <c r="B128" s="1118"/>
      <c r="C128" s="1011" t="s">
        <v>1280</v>
      </c>
      <c r="D128" s="1018" t="s">
        <v>1471</v>
      </c>
      <c r="E128" s="1044"/>
      <c r="F128" s="1044"/>
      <c r="G128" s="1044"/>
      <c r="H128" s="1044"/>
      <c r="I128" s="1044"/>
      <c r="J128" s="1044"/>
      <c r="K128" s="1044"/>
      <c r="L128" s="1044"/>
      <c r="M128" s="1088" t="s">
        <v>520</v>
      </c>
      <c r="N128" s="991">
        <v>30000</v>
      </c>
      <c r="O128" s="1044"/>
      <c r="P128" s="1044"/>
      <c r="Q128" s="1044"/>
      <c r="R128" s="1044"/>
      <c r="S128" s="1044"/>
      <c r="T128" s="1044"/>
    </row>
    <row r="129" spans="1:20" ht="42">
      <c r="A129" s="1117"/>
      <c r="B129" s="1118"/>
      <c r="C129" s="1014" t="s">
        <v>1410</v>
      </c>
      <c r="D129" s="1018" t="s">
        <v>1471</v>
      </c>
      <c r="E129" s="1044"/>
      <c r="F129" s="1044"/>
      <c r="G129" s="1044"/>
      <c r="H129" s="1044"/>
      <c r="I129" s="1044"/>
      <c r="J129" s="1044"/>
      <c r="K129" s="1044"/>
      <c r="L129" s="1044"/>
      <c r="M129" s="1088" t="s">
        <v>520</v>
      </c>
      <c r="N129" s="1005">
        <f>16820+43200</f>
        <v>60020</v>
      </c>
      <c r="O129" s="1044"/>
      <c r="P129" s="1044"/>
      <c r="Q129" s="1044"/>
      <c r="R129" s="1044"/>
      <c r="S129" s="1044"/>
      <c r="T129" s="1044"/>
    </row>
    <row r="130" spans="1:20" ht="21">
      <c r="A130" s="1117"/>
      <c r="B130" s="1118"/>
      <c r="C130" s="1011" t="s">
        <v>1282</v>
      </c>
      <c r="D130" s="1018" t="s">
        <v>1471</v>
      </c>
      <c r="E130" s="1044"/>
      <c r="F130" s="1044"/>
      <c r="G130" s="1044"/>
      <c r="H130" s="1044"/>
      <c r="I130" s="1044"/>
      <c r="J130" s="1044"/>
      <c r="K130" s="1044"/>
      <c r="L130" s="1044"/>
      <c r="M130" s="1088" t="s">
        <v>520</v>
      </c>
      <c r="N130" s="991">
        <v>7900</v>
      </c>
      <c r="O130" s="1044"/>
      <c r="P130" s="1044"/>
      <c r="Q130" s="1044"/>
      <c r="R130" s="1044"/>
      <c r="S130" s="1044"/>
      <c r="T130" s="1044"/>
    </row>
    <row r="131" spans="1:20" ht="21">
      <c r="A131" s="1117"/>
      <c r="B131" s="1118"/>
      <c r="C131" s="1011" t="s">
        <v>1312</v>
      </c>
      <c r="D131" s="1018" t="s">
        <v>1471</v>
      </c>
      <c r="E131" s="1044"/>
      <c r="F131" s="1044"/>
      <c r="G131" s="1044"/>
      <c r="H131" s="1044"/>
      <c r="I131" s="1044"/>
      <c r="J131" s="1044"/>
      <c r="K131" s="1044"/>
      <c r="L131" s="1044"/>
      <c r="M131" s="1088" t="s">
        <v>520</v>
      </c>
      <c r="N131" s="991">
        <v>80000</v>
      </c>
      <c r="O131" s="1044"/>
      <c r="P131" s="1044"/>
      <c r="Q131" s="1044"/>
      <c r="R131" s="1044"/>
      <c r="S131" s="1044"/>
      <c r="T131" s="1044"/>
    </row>
    <row r="132" spans="1:20" ht="21">
      <c r="A132" s="1117"/>
      <c r="B132" s="1118"/>
      <c r="C132" s="1011" t="s">
        <v>1313</v>
      </c>
      <c r="D132" s="1018" t="s">
        <v>1471</v>
      </c>
      <c r="E132" s="1044"/>
      <c r="F132" s="1044"/>
      <c r="G132" s="1044"/>
      <c r="H132" s="1044"/>
      <c r="I132" s="1044"/>
      <c r="J132" s="1044"/>
      <c r="K132" s="1044"/>
      <c r="L132" s="1044"/>
      <c r="M132" s="1088" t="s">
        <v>520</v>
      </c>
      <c r="N132" s="991">
        <v>30000</v>
      </c>
      <c r="O132" s="1044"/>
      <c r="P132" s="1044"/>
      <c r="Q132" s="1044"/>
      <c r="R132" s="1044"/>
      <c r="S132" s="1044"/>
      <c r="T132" s="1044"/>
    </row>
    <row r="133" spans="1:20" ht="21">
      <c r="A133" s="1117"/>
      <c r="B133" s="1118"/>
      <c r="C133" s="1009" t="s">
        <v>1411</v>
      </c>
      <c r="D133" s="1018" t="s">
        <v>1471</v>
      </c>
      <c r="E133" s="1044"/>
      <c r="F133" s="1044"/>
      <c r="G133" s="1044"/>
      <c r="H133" s="1044"/>
      <c r="I133" s="1044"/>
      <c r="J133" s="1044"/>
      <c r="K133" s="1044"/>
      <c r="L133" s="1044"/>
      <c r="M133" s="1088" t="s">
        <v>520</v>
      </c>
      <c r="N133" s="991">
        <v>60000</v>
      </c>
      <c r="O133" s="1044"/>
      <c r="P133" s="1044"/>
      <c r="Q133" s="1044"/>
      <c r="R133" s="1044"/>
      <c r="S133" s="1044"/>
      <c r="T133" s="1044"/>
    </row>
    <row r="134" spans="1:20" ht="21">
      <c r="A134" s="1117"/>
      <c r="B134" s="1118"/>
      <c r="C134" s="1009" t="s">
        <v>1412</v>
      </c>
      <c r="D134" s="1018" t="s">
        <v>1471</v>
      </c>
      <c r="E134" s="1044"/>
      <c r="F134" s="1044"/>
      <c r="G134" s="1044"/>
      <c r="H134" s="1044"/>
      <c r="I134" s="1044"/>
      <c r="J134" s="1044"/>
      <c r="K134" s="1044"/>
      <c r="L134" s="1044"/>
      <c r="M134" s="1088" t="s">
        <v>520</v>
      </c>
      <c r="N134" s="991" t="s">
        <v>34</v>
      </c>
      <c r="O134" s="1044"/>
      <c r="P134" s="1044"/>
      <c r="Q134" s="1044"/>
      <c r="R134" s="1044"/>
      <c r="S134" s="1044"/>
      <c r="T134" s="1044"/>
    </row>
    <row r="135" spans="1:20" ht="42">
      <c r="A135" s="1117"/>
      <c r="B135" s="1118"/>
      <c r="C135" s="1013" t="s">
        <v>1413</v>
      </c>
      <c r="D135" s="1018" t="s">
        <v>1471</v>
      </c>
      <c r="E135" s="1044"/>
      <c r="F135" s="1044"/>
      <c r="G135" s="1044"/>
      <c r="H135" s="1044"/>
      <c r="I135" s="1044"/>
      <c r="J135" s="1044"/>
      <c r="K135" s="1044"/>
      <c r="L135" s="1044"/>
      <c r="M135" s="1088" t="s">
        <v>520</v>
      </c>
      <c r="N135" s="1005">
        <v>1309100</v>
      </c>
      <c r="O135" s="1044"/>
      <c r="P135" s="1044"/>
      <c r="Q135" s="1044"/>
      <c r="R135" s="1044"/>
      <c r="S135" s="1044"/>
      <c r="T135" s="1044"/>
    </row>
    <row r="136" spans="1:20" ht="42">
      <c r="A136" s="1117"/>
      <c r="B136" s="1118"/>
      <c r="C136" s="1002" t="s">
        <v>1414</v>
      </c>
      <c r="D136" s="1018" t="s">
        <v>1471</v>
      </c>
      <c r="E136" s="1044"/>
      <c r="F136" s="1044"/>
      <c r="G136" s="1044"/>
      <c r="H136" s="1044"/>
      <c r="I136" s="1044"/>
      <c r="J136" s="1044"/>
      <c r="K136" s="1044"/>
      <c r="L136" s="1044"/>
      <c r="M136" s="1088" t="s">
        <v>520</v>
      </c>
      <c r="N136" s="991">
        <v>10000</v>
      </c>
      <c r="O136" s="1044"/>
      <c r="P136" s="1044"/>
      <c r="Q136" s="1044"/>
      <c r="R136" s="1044"/>
      <c r="S136" s="1044"/>
      <c r="T136" s="1044"/>
    </row>
    <row r="137" spans="1:20" ht="42">
      <c r="A137" s="1117"/>
      <c r="B137" s="1091" t="s">
        <v>34</v>
      </c>
      <c r="C137" s="987" t="s">
        <v>1415</v>
      </c>
      <c r="D137" s="1018" t="s">
        <v>1471</v>
      </c>
      <c r="E137" s="1044"/>
      <c r="F137" s="1044"/>
      <c r="G137" s="1044"/>
      <c r="H137" s="1044"/>
      <c r="I137" s="1044"/>
      <c r="J137" s="1044"/>
      <c r="K137" s="1044"/>
      <c r="L137" s="1044"/>
      <c r="M137" s="1088" t="s">
        <v>520</v>
      </c>
      <c r="N137" s="996">
        <v>2462700</v>
      </c>
      <c r="O137" s="1044"/>
      <c r="P137" s="1044"/>
      <c r="Q137" s="1044"/>
      <c r="R137" s="1044"/>
      <c r="S137" s="1044"/>
      <c r="T137" s="1044"/>
    </row>
    <row r="138" spans="1:20" ht="37.5">
      <c r="A138" s="1120"/>
      <c r="B138" s="1088" t="s">
        <v>577</v>
      </c>
      <c r="C138" s="1073" t="s">
        <v>1314</v>
      </c>
      <c r="D138" s="1018" t="s">
        <v>1471</v>
      </c>
      <c r="E138" s="1044"/>
      <c r="F138" s="1044"/>
      <c r="G138" s="1044"/>
      <c r="H138" s="1044"/>
      <c r="I138" s="1044"/>
      <c r="J138" s="1044"/>
      <c r="K138" s="1044"/>
      <c r="L138" s="1044"/>
      <c r="M138" s="1088" t="s">
        <v>520</v>
      </c>
      <c r="N138" s="1017">
        <v>100000</v>
      </c>
      <c r="O138" s="1044"/>
      <c r="P138" s="1044"/>
      <c r="Q138" s="1044"/>
      <c r="R138" s="1044"/>
      <c r="S138" s="1044"/>
      <c r="T138" s="1044"/>
    </row>
    <row r="139" spans="1:20" ht="56.25">
      <c r="A139" s="1120"/>
      <c r="B139" s="1088" t="s">
        <v>577</v>
      </c>
      <c r="C139" s="1073" t="s">
        <v>1315</v>
      </c>
      <c r="D139" s="1018" t="s">
        <v>1471</v>
      </c>
      <c r="E139" s="1044"/>
      <c r="F139" s="1044"/>
      <c r="G139" s="1044"/>
      <c r="H139" s="1044"/>
      <c r="I139" s="1044"/>
      <c r="J139" s="1044"/>
      <c r="K139" s="1044"/>
      <c r="L139" s="1044"/>
      <c r="M139" s="1088" t="s">
        <v>520</v>
      </c>
      <c r="N139" s="1017">
        <v>5000</v>
      </c>
      <c r="O139" s="1044"/>
      <c r="P139" s="1044"/>
      <c r="Q139" s="1044"/>
      <c r="R139" s="1044"/>
      <c r="S139" s="1044"/>
      <c r="T139" s="1044"/>
    </row>
    <row r="140" spans="1:20" ht="37.5">
      <c r="A140" s="1120"/>
      <c r="B140" s="1088" t="s">
        <v>577</v>
      </c>
      <c r="C140" s="1073" t="s">
        <v>1316</v>
      </c>
      <c r="D140" s="1018" t="s">
        <v>1471</v>
      </c>
      <c r="E140" s="1044"/>
      <c r="F140" s="1044"/>
      <c r="G140" s="1044"/>
      <c r="H140" s="1044"/>
      <c r="I140" s="1044"/>
      <c r="J140" s="1044"/>
      <c r="K140" s="1044"/>
      <c r="L140" s="1044"/>
      <c r="M140" s="1088" t="s">
        <v>520</v>
      </c>
      <c r="N140" s="1017">
        <v>5000</v>
      </c>
      <c r="O140" s="1044"/>
      <c r="P140" s="1044"/>
      <c r="Q140" s="1044"/>
      <c r="R140" s="1044"/>
      <c r="S140" s="1044"/>
      <c r="T140" s="1044"/>
    </row>
    <row r="141" spans="1:20" ht="37.5">
      <c r="A141" s="1120"/>
      <c r="B141" s="1088" t="s">
        <v>577</v>
      </c>
      <c r="C141" s="1073" t="s">
        <v>1317</v>
      </c>
      <c r="D141" s="1018" t="s">
        <v>1471</v>
      </c>
      <c r="E141" s="1044"/>
      <c r="F141" s="1044"/>
      <c r="G141" s="1044"/>
      <c r="H141" s="1044"/>
      <c r="I141" s="1044"/>
      <c r="J141" s="1044"/>
      <c r="K141" s="1044"/>
      <c r="L141" s="1044"/>
      <c r="M141" s="1088" t="s">
        <v>520</v>
      </c>
      <c r="N141" s="1017">
        <v>5000</v>
      </c>
      <c r="O141" s="1044"/>
      <c r="P141" s="1044"/>
      <c r="Q141" s="1044"/>
      <c r="R141" s="1044"/>
      <c r="S141" s="1044"/>
      <c r="T141" s="1044"/>
    </row>
    <row r="142" spans="1:20" ht="37.5">
      <c r="A142" s="1120"/>
      <c r="B142" s="1088" t="s">
        <v>577</v>
      </c>
      <c r="C142" s="1073" t="s">
        <v>1318</v>
      </c>
      <c r="D142" s="1018" t="s">
        <v>1471</v>
      </c>
      <c r="E142" s="1044"/>
      <c r="F142" s="1044"/>
      <c r="G142" s="1044"/>
      <c r="H142" s="1044"/>
      <c r="I142" s="1044"/>
      <c r="J142" s="1044"/>
      <c r="K142" s="1044"/>
      <c r="L142" s="1044"/>
      <c r="M142" s="1088" t="s">
        <v>520</v>
      </c>
      <c r="N142" s="1017">
        <v>5000</v>
      </c>
      <c r="O142" s="1044"/>
      <c r="P142" s="1044"/>
      <c r="Q142" s="1044"/>
      <c r="R142" s="1044"/>
      <c r="S142" s="1044"/>
      <c r="T142" s="1044"/>
    </row>
    <row r="143" spans="1:20">
      <c r="A143" s="1120"/>
      <c r="B143" s="1088" t="s">
        <v>577</v>
      </c>
      <c r="C143" s="1073" t="s">
        <v>1319</v>
      </c>
      <c r="D143" s="1018" t="s">
        <v>1471</v>
      </c>
      <c r="E143" s="1044"/>
      <c r="F143" s="1044"/>
      <c r="G143" s="1044"/>
      <c r="H143" s="1044"/>
      <c r="I143" s="1044"/>
      <c r="J143" s="1044"/>
      <c r="K143" s="1044"/>
      <c r="L143" s="1044"/>
      <c r="M143" s="1088" t="s">
        <v>520</v>
      </c>
      <c r="N143" s="1017">
        <v>5000</v>
      </c>
      <c r="O143" s="1044"/>
      <c r="P143" s="1044"/>
      <c r="Q143" s="1044"/>
      <c r="R143" s="1044"/>
      <c r="S143" s="1044"/>
      <c r="T143" s="1044"/>
    </row>
    <row r="144" spans="1:20" ht="56.25">
      <c r="A144" s="1120"/>
      <c r="B144" s="1088" t="s">
        <v>577</v>
      </c>
      <c r="C144" s="1073" t="s">
        <v>1320</v>
      </c>
      <c r="D144" s="1018" t="s">
        <v>1471</v>
      </c>
      <c r="E144" s="1044"/>
      <c r="F144" s="1044"/>
      <c r="G144" s="1044"/>
      <c r="H144" s="1044"/>
      <c r="I144" s="1044"/>
      <c r="J144" s="1044"/>
      <c r="K144" s="1044"/>
      <c r="L144" s="1044"/>
      <c r="M144" s="1088" t="s">
        <v>520</v>
      </c>
      <c r="N144" s="1017">
        <v>1400000</v>
      </c>
      <c r="O144" s="1044"/>
      <c r="P144" s="1044"/>
      <c r="Q144" s="1044"/>
      <c r="R144" s="1044"/>
      <c r="S144" s="1044"/>
      <c r="T144" s="1044"/>
    </row>
    <row r="145" spans="1:20" ht="56.25">
      <c r="A145" s="1120"/>
      <c r="B145" s="1088" t="s">
        <v>577</v>
      </c>
      <c r="C145" s="1073" t="s">
        <v>1321</v>
      </c>
      <c r="D145" s="1018" t="s">
        <v>1471</v>
      </c>
      <c r="E145" s="1044"/>
      <c r="F145" s="1044"/>
      <c r="G145" s="1044"/>
      <c r="H145" s="1044"/>
      <c r="I145" s="1044"/>
      <c r="J145" s="1044"/>
      <c r="K145" s="1044"/>
      <c r="L145" s="1044"/>
      <c r="M145" s="1088" t="s">
        <v>520</v>
      </c>
      <c r="N145" s="1017">
        <v>50000</v>
      </c>
      <c r="O145" s="1044"/>
      <c r="P145" s="1044"/>
      <c r="Q145" s="1044"/>
      <c r="R145" s="1044"/>
      <c r="S145" s="1044"/>
      <c r="T145" s="1044"/>
    </row>
    <row r="146" spans="1:20" ht="37.5">
      <c r="A146" s="1120"/>
      <c r="B146" s="1088" t="s">
        <v>577</v>
      </c>
      <c r="C146" s="1073" t="s">
        <v>1322</v>
      </c>
      <c r="D146" s="1018" t="s">
        <v>1471</v>
      </c>
      <c r="E146" s="1044"/>
      <c r="F146" s="1044"/>
      <c r="G146" s="1044"/>
      <c r="H146" s="1044"/>
      <c r="I146" s="1044"/>
      <c r="J146" s="1044"/>
      <c r="K146" s="1044"/>
      <c r="L146" s="1044"/>
      <c r="M146" s="1088" t="s">
        <v>520</v>
      </c>
      <c r="N146" s="1017">
        <v>200000</v>
      </c>
      <c r="O146" s="1044"/>
      <c r="P146" s="1044"/>
      <c r="Q146" s="1044"/>
      <c r="R146" s="1044"/>
      <c r="S146" s="1044"/>
      <c r="T146" s="1044"/>
    </row>
    <row r="147" spans="1:20" ht="37.5">
      <c r="A147" s="1120"/>
      <c r="B147" s="1088" t="s">
        <v>577</v>
      </c>
      <c r="C147" s="1073" t="s">
        <v>1323</v>
      </c>
      <c r="D147" s="1018" t="s">
        <v>1471</v>
      </c>
      <c r="E147" s="1044"/>
      <c r="F147" s="1044"/>
      <c r="G147" s="1044"/>
      <c r="H147" s="1044"/>
      <c r="I147" s="1044"/>
      <c r="J147" s="1044"/>
      <c r="K147" s="1044"/>
      <c r="L147" s="1044"/>
      <c r="M147" s="1088" t="s">
        <v>520</v>
      </c>
      <c r="N147" s="1017">
        <v>10000</v>
      </c>
      <c r="O147" s="1044"/>
      <c r="P147" s="1044"/>
      <c r="Q147" s="1044"/>
      <c r="R147" s="1044"/>
      <c r="S147" s="1044"/>
      <c r="T147" s="1044"/>
    </row>
    <row r="148" spans="1:20" ht="37.5">
      <c r="A148" s="1120"/>
      <c r="B148" s="1088" t="s">
        <v>577</v>
      </c>
      <c r="C148" s="1073" t="s">
        <v>1324</v>
      </c>
      <c r="D148" s="1018" t="s">
        <v>1471</v>
      </c>
      <c r="E148" s="1044"/>
      <c r="F148" s="1044"/>
      <c r="G148" s="1044"/>
      <c r="H148" s="1044"/>
      <c r="I148" s="1044"/>
      <c r="J148" s="1044"/>
      <c r="K148" s="1044"/>
      <c r="L148" s="1044"/>
      <c r="M148" s="1088" t="s">
        <v>520</v>
      </c>
      <c r="N148" s="1017">
        <v>5000</v>
      </c>
      <c r="O148" s="1044"/>
      <c r="P148" s="1044"/>
      <c r="Q148" s="1044"/>
      <c r="R148" s="1044"/>
      <c r="S148" s="1044"/>
      <c r="T148" s="1044"/>
    </row>
    <row r="149" spans="1:20" ht="37.5">
      <c r="A149" s="1120"/>
      <c r="B149" s="1088" t="s">
        <v>577</v>
      </c>
      <c r="C149" s="1073" t="s">
        <v>1325</v>
      </c>
      <c r="D149" s="1018" t="s">
        <v>1471</v>
      </c>
      <c r="E149" s="1044"/>
      <c r="F149" s="1044"/>
      <c r="G149" s="1044"/>
      <c r="H149" s="1044"/>
      <c r="I149" s="1044"/>
      <c r="J149" s="1044"/>
      <c r="K149" s="1044"/>
      <c r="L149" s="1044"/>
      <c r="M149" s="1088" t="s">
        <v>520</v>
      </c>
      <c r="N149" s="1017">
        <v>10000</v>
      </c>
      <c r="O149" s="1044"/>
      <c r="P149" s="1044"/>
      <c r="Q149" s="1044"/>
      <c r="R149" s="1044"/>
      <c r="S149" s="1044"/>
      <c r="T149" s="1044"/>
    </row>
    <row r="150" spans="1:20" ht="37.5">
      <c r="A150" s="1120"/>
      <c r="B150" s="1088" t="s">
        <v>577</v>
      </c>
      <c r="C150" s="1073" t="s">
        <v>1326</v>
      </c>
      <c r="D150" s="1018" t="s">
        <v>1471</v>
      </c>
      <c r="E150" s="1044"/>
      <c r="F150" s="1044"/>
      <c r="G150" s="1044"/>
      <c r="H150" s="1044"/>
      <c r="I150" s="1044"/>
      <c r="J150" s="1044"/>
      <c r="K150" s="1044"/>
      <c r="L150" s="1044"/>
      <c r="M150" s="1088" t="s">
        <v>520</v>
      </c>
      <c r="N150" s="1017">
        <v>10000</v>
      </c>
      <c r="O150" s="1044"/>
      <c r="P150" s="1044"/>
      <c r="Q150" s="1044"/>
      <c r="R150" s="1044"/>
      <c r="S150" s="1044"/>
      <c r="T150" s="1044"/>
    </row>
    <row r="151" spans="1:20" ht="37.5">
      <c r="A151" s="1120"/>
      <c r="B151" s="1088" t="s">
        <v>577</v>
      </c>
      <c r="C151" s="1073" t="s">
        <v>1327</v>
      </c>
      <c r="D151" s="1018" t="s">
        <v>1471</v>
      </c>
      <c r="E151" s="1044"/>
      <c r="F151" s="1044"/>
      <c r="G151" s="1044"/>
      <c r="H151" s="1044"/>
      <c r="I151" s="1044"/>
      <c r="J151" s="1044"/>
      <c r="K151" s="1044"/>
      <c r="L151" s="1044"/>
      <c r="M151" s="1088" t="s">
        <v>520</v>
      </c>
      <c r="N151" s="1017">
        <v>10000</v>
      </c>
      <c r="O151" s="1044"/>
      <c r="P151" s="1044"/>
      <c r="Q151" s="1044"/>
      <c r="R151" s="1044"/>
      <c r="S151" s="1044"/>
      <c r="T151" s="1044"/>
    </row>
    <row r="152" spans="1:20" ht="56.25">
      <c r="A152" s="1120"/>
      <c r="B152" s="1088" t="s">
        <v>577</v>
      </c>
      <c r="C152" s="1073" t="s">
        <v>1328</v>
      </c>
      <c r="D152" s="1018" t="s">
        <v>1471</v>
      </c>
      <c r="E152" s="1044"/>
      <c r="F152" s="1044"/>
      <c r="G152" s="1044"/>
      <c r="H152" s="1044"/>
      <c r="I152" s="1044"/>
      <c r="J152" s="1044"/>
      <c r="K152" s="1044"/>
      <c r="L152" s="1044"/>
      <c r="M152" s="1088" t="s">
        <v>520</v>
      </c>
      <c r="N152" s="1017">
        <v>24000</v>
      </c>
      <c r="O152" s="1044"/>
      <c r="P152" s="1044"/>
      <c r="Q152" s="1044"/>
      <c r="R152" s="1044"/>
      <c r="S152" s="1044"/>
      <c r="T152" s="1044"/>
    </row>
    <row r="153" spans="1:20" ht="37.5">
      <c r="A153" s="1120"/>
      <c r="B153" s="1088" t="s">
        <v>1468</v>
      </c>
      <c r="C153" s="1073" t="s">
        <v>1329</v>
      </c>
      <c r="D153" s="1018" t="s">
        <v>1471</v>
      </c>
      <c r="E153" s="1044"/>
      <c r="F153" s="1044"/>
      <c r="G153" s="1044"/>
      <c r="H153" s="1044"/>
      <c r="I153" s="1044"/>
      <c r="J153" s="1044"/>
      <c r="K153" s="1044"/>
      <c r="L153" s="1044"/>
      <c r="M153" s="1088" t="s">
        <v>520</v>
      </c>
      <c r="N153" s="1017">
        <v>5000</v>
      </c>
      <c r="O153" s="1044"/>
      <c r="P153" s="1044"/>
      <c r="Q153" s="1044"/>
      <c r="R153" s="1044"/>
      <c r="S153" s="1044"/>
      <c r="T153" s="1044"/>
    </row>
    <row r="154" spans="1:20" ht="37.5">
      <c r="A154" s="1121"/>
      <c r="B154" s="1088" t="s">
        <v>577</v>
      </c>
      <c r="C154" s="1073" t="s">
        <v>1330</v>
      </c>
      <c r="D154" s="1018" t="s">
        <v>1471</v>
      </c>
      <c r="E154" s="1044"/>
      <c r="F154" s="1044"/>
      <c r="G154" s="1044"/>
      <c r="H154" s="1044"/>
      <c r="I154" s="1044"/>
      <c r="J154" s="1044"/>
      <c r="K154" s="1044"/>
      <c r="L154" s="1044"/>
      <c r="M154" s="1088" t="s">
        <v>520</v>
      </c>
      <c r="N154" s="1017">
        <v>5000</v>
      </c>
      <c r="O154" s="1044"/>
      <c r="P154" s="1044"/>
      <c r="Q154" s="1044"/>
      <c r="R154" s="1044"/>
      <c r="S154" s="1044"/>
      <c r="T154" s="1044"/>
    </row>
    <row r="155" spans="1:20" ht="56.25">
      <c r="A155" s="1122"/>
      <c r="B155" s="1088" t="s">
        <v>1467</v>
      </c>
      <c r="C155" s="1073" t="s">
        <v>1331</v>
      </c>
      <c r="D155" s="1018" t="s">
        <v>1471</v>
      </c>
      <c r="E155" s="1044"/>
      <c r="F155" s="1044"/>
      <c r="G155" s="1044"/>
      <c r="H155" s="1044"/>
      <c r="I155" s="1044"/>
      <c r="J155" s="1044"/>
      <c r="K155" s="1044"/>
      <c r="L155" s="1044"/>
      <c r="M155" s="1088" t="s">
        <v>520</v>
      </c>
      <c r="N155" s="1017">
        <v>200000</v>
      </c>
      <c r="O155" s="1044"/>
      <c r="P155" s="1044"/>
      <c r="Q155" s="1044"/>
      <c r="R155" s="1044"/>
      <c r="S155" s="1044"/>
      <c r="T155" s="1044"/>
    </row>
    <row r="156" spans="1:20" ht="56.25">
      <c r="A156" s="1120"/>
      <c r="B156" s="1088" t="s">
        <v>1467</v>
      </c>
      <c r="C156" s="1073" t="s">
        <v>1332</v>
      </c>
      <c r="D156" s="1018" t="s">
        <v>1471</v>
      </c>
      <c r="E156" s="1044"/>
      <c r="F156" s="1044"/>
      <c r="G156" s="1044"/>
      <c r="H156" s="1044"/>
      <c r="I156" s="1044"/>
      <c r="J156" s="1044"/>
      <c r="K156" s="1044"/>
      <c r="L156" s="1044"/>
      <c r="M156" s="1088" t="s">
        <v>520</v>
      </c>
      <c r="N156" s="1017">
        <v>50000</v>
      </c>
      <c r="O156" s="1044"/>
      <c r="P156" s="1044"/>
      <c r="Q156" s="1044"/>
      <c r="R156" s="1044"/>
      <c r="S156" s="1044"/>
      <c r="T156" s="1044"/>
    </row>
    <row r="157" spans="1:20" ht="37.5">
      <c r="A157" s="1120"/>
      <c r="B157" s="1088" t="s">
        <v>1467</v>
      </c>
      <c r="C157" s="1073" t="s">
        <v>1333</v>
      </c>
      <c r="D157" s="1018" t="s">
        <v>1471</v>
      </c>
      <c r="E157" s="1044"/>
      <c r="F157" s="1044"/>
      <c r="G157" s="1044"/>
      <c r="H157" s="1044"/>
      <c r="I157" s="1044"/>
      <c r="J157" s="1044"/>
      <c r="K157" s="1044"/>
      <c r="L157" s="1044"/>
      <c r="M157" s="1088" t="s">
        <v>520</v>
      </c>
      <c r="N157" s="1017">
        <v>5000</v>
      </c>
      <c r="O157" s="1044"/>
      <c r="P157" s="1044"/>
      <c r="Q157" s="1044"/>
      <c r="R157" s="1044"/>
      <c r="S157" s="1044"/>
      <c r="T157" s="1044"/>
    </row>
    <row r="158" spans="1:20" ht="37.5">
      <c r="A158" s="1120"/>
      <c r="B158" s="1088" t="s">
        <v>1467</v>
      </c>
      <c r="C158" s="1073" t="s">
        <v>1334</v>
      </c>
      <c r="D158" s="1018" t="s">
        <v>1471</v>
      </c>
      <c r="E158" s="1044"/>
      <c r="F158" s="1044"/>
      <c r="G158" s="1044"/>
      <c r="H158" s="1044"/>
      <c r="I158" s="1044"/>
      <c r="J158" s="1044"/>
      <c r="K158" s="1044"/>
      <c r="L158" s="1044"/>
      <c r="M158" s="1088" t="s">
        <v>520</v>
      </c>
      <c r="N158" s="1017">
        <v>150000</v>
      </c>
      <c r="O158" s="1044"/>
      <c r="P158" s="1044"/>
      <c r="Q158" s="1044"/>
      <c r="R158" s="1044"/>
      <c r="S158" s="1044"/>
      <c r="T158" s="1044"/>
    </row>
    <row r="159" spans="1:20" ht="37.5">
      <c r="A159" s="1120"/>
      <c r="B159" s="1088" t="s">
        <v>365</v>
      </c>
      <c r="C159" s="1073" t="s">
        <v>1335</v>
      </c>
      <c r="D159" s="1018" t="s">
        <v>1471</v>
      </c>
      <c r="E159" s="1044"/>
      <c r="F159" s="1044"/>
      <c r="G159" s="1044"/>
      <c r="H159" s="1044"/>
      <c r="I159" s="1044"/>
      <c r="J159" s="1044"/>
      <c r="K159" s="1044"/>
      <c r="L159" s="1044"/>
      <c r="M159" s="1088" t="s">
        <v>520</v>
      </c>
      <c r="N159" s="1017">
        <v>15000</v>
      </c>
      <c r="O159" s="1044"/>
      <c r="P159" s="1044"/>
      <c r="Q159" s="1044"/>
      <c r="R159" s="1044"/>
      <c r="S159" s="1044"/>
      <c r="T159" s="1044"/>
    </row>
    <row r="160" spans="1:20" ht="56.25">
      <c r="A160" s="1120"/>
      <c r="B160" s="1088" t="s">
        <v>365</v>
      </c>
      <c r="C160" s="1073" t="s">
        <v>1336</v>
      </c>
      <c r="D160" s="1018" t="s">
        <v>1471</v>
      </c>
      <c r="E160" s="1044"/>
      <c r="F160" s="1044"/>
      <c r="G160" s="1044"/>
      <c r="H160" s="1044"/>
      <c r="I160" s="1044"/>
      <c r="J160" s="1044"/>
      <c r="K160" s="1044"/>
      <c r="L160" s="1044"/>
      <c r="M160" s="1088" t="s">
        <v>520</v>
      </c>
      <c r="N160" s="1017">
        <v>18000</v>
      </c>
      <c r="O160" s="1044"/>
      <c r="P160" s="1044"/>
      <c r="Q160" s="1044"/>
      <c r="R160" s="1044"/>
      <c r="S160" s="1044"/>
      <c r="T160" s="1044"/>
    </row>
    <row r="161" spans="1:20" ht="56.25">
      <c r="A161" s="1120"/>
      <c r="B161" s="1088" t="s">
        <v>101</v>
      </c>
      <c r="C161" s="1073" t="s">
        <v>1337</v>
      </c>
      <c r="D161" s="1018" t="s">
        <v>1471</v>
      </c>
      <c r="E161" s="1044"/>
      <c r="F161" s="1044"/>
      <c r="G161" s="1044"/>
      <c r="H161" s="1044"/>
      <c r="I161" s="1044"/>
      <c r="J161" s="1044"/>
      <c r="K161" s="1044"/>
      <c r="L161" s="1044"/>
      <c r="M161" s="1088" t="s">
        <v>520</v>
      </c>
      <c r="N161" s="1017">
        <v>46500</v>
      </c>
      <c r="O161" s="1044"/>
      <c r="P161" s="1044"/>
      <c r="Q161" s="1044"/>
      <c r="R161" s="1044"/>
      <c r="S161" s="1044"/>
      <c r="T161" s="1044"/>
    </row>
    <row r="162" spans="1:20" ht="56.25">
      <c r="A162" s="1120"/>
      <c r="B162" s="1088" t="s">
        <v>101</v>
      </c>
      <c r="C162" s="1073" t="s">
        <v>1338</v>
      </c>
      <c r="D162" s="1018" t="s">
        <v>1471</v>
      </c>
      <c r="E162" s="1044"/>
      <c r="F162" s="1044"/>
      <c r="G162" s="1044"/>
      <c r="H162" s="1044"/>
      <c r="I162" s="1044"/>
      <c r="J162" s="1044"/>
      <c r="K162" s="1044"/>
      <c r="L162" s="1044"/>
      <c r="M162" s="1088" t="s">
        <v>520</v>
      </c>
      <c r="N162" s="1017">
        <v>40000</v>
      </c>
      <c r="O162" s="1044"/>
      <c r="P162" s="1044"/>
      <c r="Q162" s="1044"/>
      <c r="R162" s="1044"/>
      <c r="S162" s="1044"/>
      <c r="T162" s="1044"/>
    </row>
    <row r="163" spans="1:20" ht="56.25">
      <c r="A163" s="1120"/>
      <c r="B163" s="1088" t="s">
        <v>101</v>
      </c>
      <c r="C163" s="1073" t="s">
        <v>1339</v>
      </c>
      <c r="D163" s="1018" t="s">
        <v>1471</v>
      </c>
      <c r="E163" s="1044"/>
      <c r="F163" s="1044"/>
      <c r="G163" s="1044"/>
      <c r="H163" s="1044"/>
      <c r="I163" s="1044"/>
      <c r="J163" s="1044"/>
      <c r="K163" s="1044"/>
      <c r="L163" s="1044"/>
      <c r="M163" s="1088" t="s">
        <v>520</v>
      </c>
      <c r="N163" s="1017">
        <v>8000</v>
      </c>
      <c r="O163" s="1044"/>
      <c r="P163" s="1044"/>
      <c r="Q163" s="1044"/>
      <c r="R163" s="1044"/>
      <c r="S163" s="1044"/>
      <c r="T163" s="1044"/>
    </row>
    <row r="164" spans="1:20" ht="56.25">
      <c r="A164" s="1120"/>
      <c r="B164" s="1088" t="s">
        <v>45</v>
      </c>
      <c r="C164" s="1073" t="s">
        <v>1340</v>
      </c>
      <c r="D164" s="1018" t="s">
        <v>1471</v>
      </c>
      <c r="E164" s="1044"/>
      <c r="F164" s="1044"/>
      <c r="G164" s="1044"/>
      <c r="H164" s="1044"/>
      <c r="I164" s="1044"/>
      <c r="J164" s="1044"/>
      <c r="K164" s="1044"/>
      <c r="L164" s="1044"/>
      <c r="M164" s="1088" t="s">
        <v>520</v>
      </c>
      <c r="N164" s="1017">
        <v>13200</v>
      </c>
      <c r="O164" s="1044"/>
      <c r="P164" s="1044"/>
      <c r="Q164" s="1044"/>
      <c r="R164" s="1044"/>
      <c r="S164" s="1044"/>
      <c r="T164" s="1044"/>
    </row>
    <row r="165" spans="1:20" ht="75">
      <c r="A165" s="1120"/>
      <c r="B165" s="1088" t="s">
        <v>89</v>
      </c>
      <c r="C165" s="1073" t="s">
        <v>1341</v>
      </c>
      <c r="D165" s="1018" t="s">
        <v>1471</v>
      </c>
      <c r="E165" s="1044"/>
      <c r="F165" s="1044"/>
      <c r="G165" s="1044"/>
      <c r="H165" s="1044"/>
      <c r="I165" s="1044"/>
      <c r="J165" s="1044"/>
      <c r="K165" s="1044"/>
      <c r="L165" s="1044"/>
      <c r="M165" s="1088" t="s">
        <v>520</v>
      </c>
      <c r="N165" s="1017">
        <v>28800</v>
      </c>
      <c r="O165" s="1044"/>
      <c r="P165" s="1044"/>
      <c r="Q165" s="1044"/>
      <c r="R165" s="1044"/>
      <c r="S165" s="1044"/>
      <c r="T165" s="1044"/>
    </row>
    <row r="166" spans="1:20" ht="56.25">
      <c r="A166" s="1120"/>
      <c r="B166" s="1088" t="s">
        <v>81</v>
      </c>
      <c r="C166" s="1073" t="s">
        <v>1342</v>
      </c>
      <c r="D166" s="1018" t="s">
        <v>1471</v>
      </c>
      <c r="E166" s="1044"/>
      <c r="F166" s="1044"/>
      <c r="G166" s="1044"/>
      <c r="H166" s="1044"/>
      <c r="I166" s="1044"/>
      <c r="J166" s="1044"/>
      <c r="K166" s="1044"/>
      <c r="L166" s="1044"/>
      <c r="M166" s="1088" t="s">
        <v>520</v>
      </c>
      <c r="N166" s="1017">
        <v>19200</v>
      </c>
      <c r="O166" s="1044"/>
      <c r="P166" s="1044"/>
      <c r="Q166" s="1044"/>
      <c r="R166" s="1044"/>
      <c r="S166" s="1044"/>
      <c r="T166" s="1044"/>
    </row>
    <row r="167" spans="1:20" ht="56.25">
      <c r="A167" s="1121"/>
      <c r="B167" s="1088" t="s">
        <v>455</v>
      </c>
      <c r="C167" s="1073" t="s">
        <v>1343</v>
      </c>
      <c r="D167" s="1018" t="s">
        <v>1471</v>
      </c>
      <c r="E167" s="1044"/>
      <c r="F167" s="1044"/>
      <c r="G167" s="1044"/>
      <c r="H167" s="1044"/>
      <c r="I167" s="1044"/>
      <c r="J167" s="1044"/>
      <c r="K167" s="1044"/>
      <c r="L167" s="1044"/>
      <c r="M167" s="1088" t="s">
        <v>520</v>
      </c>
      <c r="N167" s="1017">
        <v>15000</v>
      </c>
      <c r="O167" s="1044"/>
      <c r="P167" s="1044"/>
      <c r="Q167" s="1044"/>
      <c r="R167" s="1044"/>
      <c r="S167" s="1044"/>
      <c r="T167" s="1044"/>
    </row>
    <row r="168" spans="1:20" ht="42">
      <c r="A168" s="1122"/>
      <c r="B168" s="1088"/>
      <c r="C168" s="987" t="s">
        <v>1416</v>
      </c>
      <c r="D168" s="1018" t="s">
        <v>1471</v>
      </c>
      <c r="E168" s="1044"/>
      <c r="F168" s="1044"/>
      <c r="G168" s="1044"/>
      <c r="H168" s="1044"/>
      <c r="I168" s="1044"/>
      <c r="J168" s="1044"/>
      <c r="K168" s="1044"/>
      <c r="L168" s="1044"/>
      <c r="M168" s="1088" t="s">
        <v>520</v>
      </c>
      <c r="N168" s="1092">
        <v>148000</v>
      </c>
      <c r="O168" s="1044"/>
      <c r="P168" s="1044"/>
      <c r="Q168" s="1044"/>
      <c r="R168" s="1044"/>
      <c r="S168" s="1044"/>
      <c r="T168" s="1044"/>
    </row>
    <row r="169" spans="1:20" ht="56.25">
      <c r="A169" s="1120"/>
      <c r="B169" s="1088" t="s">
        <v>1465</v>
      </c>
      <c r="C169" s="1073" t="s">
        <v>1344</v>
      </c>
      <c r="D169" s="1018" t="s">
        <v>1471</v>
      </c>
      <c r="E169" s="1044"/>
      <c r="F169" s="1044"/>
      <c r="G169" s="1044"/>
      <c r="H169" s="1044"/>
      <c r="I169" s="1044"/>
      <c r="J169" s="1044"/>
      <c r="K169" s="1044"/>
      <c r="L169" s="1044"/>
      <c r="M169" s="1088" t="s">
        <v>520</v>
      </c>
      <c r="N169" s="1017">
        <v>100000</v>
      </c>
      <c r="O169" s="1044"/>
      <c r="P169" s="1044"/>
      <c r="Q169" s="1044"/>
      <c r="R169" s="1044"/>
      <c r="S169" s="1044"/>
      <c r="T169" s="1044"/>
    </row>
    <row r="170" spans="1:20" ht="56.25">
      <c r="A170" s="1120"/>
      <c r="B170" s="1088" t="s">
        <v>1465</v>
      </c>
      <c r="C170" s="1073" t="s">
        <v>1345</v>
      </c>
      <c r="D170" s="1018" t="s">
        <v>1471</v>
      </c>
      <c r="E170" s="1044"/>
      <c r="F170" s="1044"/>
      <c r="G170" s="1044"/>
      <c r="H170" s="1044"/>
      <c r="I170" s="1044"/>
      <c r="J170" s="1044"/>
      <c r="K170" s="1044"/>
      <c r="L170" s="1044"/>
      <c r="M170" s="1088" t="s">
        <v>520</v>
      </c>
      <c r="N170" s="1017">
        <v>48000</v>
      </c>
      <c r="O170" s="1044"/>
      <c r="P170" s="1044"/>
      <c r="Q170" s="1044"/>
      <c r="R170" s="1044"/>
      <c r="S170" s="1044"/>
      <c r="T170" s="1044"/>
    </row>
    <row r="171" spans="1:20" ht="105">
      <c r="A171" s="1137"/>
      <c r="B171" s="1093"/>
      <c r="C171" s="1094" t="s">
        <v>1466</v>
      </c>
      <c r="D171" s="1112" t="s">
        <v>34</v>
      </c>
      <c r="E171" s="1095"/>
      <c r="F171" s="1095"/>
      <c r="G171" s="1095"/>
      <c r="H171" s="1095"/>
      <c r="I171" s="1095"/>
      <c r="J171" s="1095"/>
      <c r="K171" s="1095"/>
      <c r="L171" s="1095"/>
      <c r="M171" s="1093" t="s">
        <v>520</v>
      </c>
      <c r="N171" s="1156">
        <v>3950000</v>
      </c>
      <c r="O171" s="1095"/>
      <c r="P171" s="1095"/>
      <c r="Q171" s="1095"/>
      <c r="R171" s="1095"/>
      <c r="S171" s="1095"/>
      <c r="T171" s="1095"/>
    </row>
    <row r="172" spans="1:20" ht="37.5">
      <c r="A172" s="1138"/>
      <c r="B172" s="1093" t="s">
        <v>577</v>
      </c>
      <c r="C172" s="1097" t="s">
        <v>1346</v>
      </c>
      <c r="D172" s="1112" t="s">
        <v>34</v>
      </c>
      <c r="E172" s="1095"/>
      <c r="F172" s="1095"/>
      <c r="G172" s="1095"/>
      <c r="H172" s="1095"/>
      <c r="I172" s="1095"/>
      <c r="J172" s="1095"/>
      <c r="K172" s="1095"/>
      <c r="L172" s="1095"/>
      <c r="M172" s="1093" t="s">
        <v>520</v>
      </c>
      <c r="N172" s="1157">
        <v>500000</v>
      </c>
      <c r="O172" s="1095"/>
      <c r="P172" s="1095"/>
      <c r="Q172" s="1095"/>
      <c r="R172" s="1095"/>
      <c r="S172" s="1095"/>
      <c r="T172" s="1095"/>
    </row>
    <row r="173" spans="1:20" ht="37.5">
      <c r="A173" s="1138"/>
      <c r="B173" s="1093" t="s">
        <v>577</v>
      </c>
      <c r="C173" s="1097" t="s">
        <v>1347</v>
      </c>
      <c r="D173" s="1112" t="s">
        <v>39</v>
      </c>
      <c r="E173" s="1095"/>
      <c r="F173" s="1095"/>
      <c r="G173" s="1095"/>
      <c r="H173" s="1095"/>
      <c r="I173" s="1095"/>
      <c r="J173" s="1095"/>
      <c r="K173" s="1095"/>
      <c r="L173" s="1095"/>
      <c r="M173" s="1093" t="s">
        <v>520</v>
      </c>
      <c r="N173" s="1157">
        <v>100000</v>
      </c>
      <c r="O173" s="1095"/>
      <c r="P173" s="1095"/>
      <c r="Q173" s="1095"/>
      <c r="R173" s="1095"/>
      <c r="S173" s="1095"/>
      <c r="T173" s="1095"/>
    </row>
    <row r="174" spans="1:20" ht="37.5">
      <c r="A174" s="1138"/>
      <c r="B174" s="1093" t="s">
        <v>577</v>
      </c>
      <c r="C174" s="1097" t="s">
        <v>1348</v>
      </c>
      <c r="D174" s="1112" t="s">
        <v>34</v>
      </c>
      <c r="E174" s="1095"/>
      <c r="F174" s="1095"/>
      <c r="G174" s="1095"/>
      <c r="H174" s="1095"/>
      <c r="I174" s="1095"/>
      <c r="J174" s="1095"/>
      <c r="K174" s="1095"/>
      <c r="L174" s="1095"/>
      <c r="M174" s="1093" t="s">
        <v>520</v>
      </c>
      <c r="N174" s="1157">
        <v>1080000</v>
      </c>
      <c r="O174" s="1095"/>
      <c r="P174" s="1095"/>
      <c r="Q174" s="1095"/>
      <c r="R174" s="1095"/>
      <c r="S174" s="1095"/>
      <c r="T174" s="1095"/>
    </row>
    <row r="175" spans="1:20" ht="75">
      <c r="A175" s="1138"/>
      <c r="B175" s="1093" t="s">
        <v>1467</v>
      </c>
      <c r="C175" s="1097" t="s">
        <v>1349</v>
      </c>
      <c r="D175" s="1112" t="s">
        <v>39</v>
      </c>
      <c r="E175" s="1095"/>
      <c r="F175" s="1095"/>
      <c r="G175" s="1095"/>
      <c r="H175" s="1095"/>
      <c r="I175" s="1095"/>
      <c r="J175" s="1095"/>
      <c r="K175" s="1095"/>
      <c r="L175" s="1095"/>
      <c r="M175" s="1093" t="s">
        <v>520</v>
      </c>
      <c r="N175" s="1157">
        <v>80000</v>
      </c>
      <c r="O175" s="1095"/>
      <c r="P175" s="1095"/>
      <c r="Q175" s="1095"/>
      <c r="R175" s="1095"/>
      <c r="S175" s="1095"/>
      <c r="T175" s="1095"/>
    </row>
    <row r="176" spans="1:20" ht="37.5">
      <c r="A176" s="1138"/>
      <c r="B176" s="1093" t="s">
        <v>55</v>
      </c>
      <c r="C176" s="1097" t="s">
        <v>1350</v>
      </c>
      <c r="D176" s="1112" t="s">
        <v>34</v>
      </c>
      <c r="E176" s="1095"/>
      <c r="F176" s="1095"/>
      <c r="G176" s="1095"/>
      <c r="H176" s="1095"/>
      <c r="I176" s="1095"/>
      <c r="J176" s="1095"/>
      <c r="K176" s="1095"/>
      <c r="L176" s="1095"/>
      <c r="M176" s="1093" t="s">
        <v>520</v>
      </c>
      <c r="N176" s="1157">
        <v>200000</v>
      </c>
      <c r="O176" s="1095"/>
      <c r="P176" s="1095"/>
      <c r="Q176" s="1095"/>
      <c r="R176" s="1095"/>
      <c r="S176" s="1095"/>
      <c r="T176" s="1095"/>
    </row>
    <row r="177" spans="1:20" ht="56.25">
      <c r="A177" s="1138"/>
      <c r="B177" s="1093" t="s">
        <v>55</v>
      </c>
      <c r="C177" s="1097" t="s">
        <v>1351</v>
      </c>
      <c r="D177" s="1112" t="s">
        <v>39</v>
      </c>
      <c r="E177" s="1095"/>
      <c r="F177" s="1095"/>
      <c r="G177" s="1095"/>
      <c r="H177" s="1095"/>
      <c r="I177" s="1095"/>
      <c r="J177" s="1095"/>
      <c r="K177" s="1095"/>
      <c r="L177" s="1095"/>
      <c r="M177" s="1093" t="s">
        <v>520</v>
      </c>
      <c r="N177" s="1157">
        <v>100000</v>
      </c>
      <c r="O177" s="1095"/>
      <c r="P177" s="1095"/>
      <c r="Q177" s="1095"/>
      <c r="R177" s="1095"/>
      <c r="S177" s="1095"/>
      <c r="T177" s="1095"/>
    </row>
    <row r="178" spans="1:20" ht="37.5">
      <c r="A178" s="1138"/>
      <c r="B178" s="1093" t="s">
        <v>55</v>
      </c>
      <c r="C178" s="1097" t="s">
        <v>1352</v>
      </c>
      <c r="D178" s="1112" t="s">
        <v>34</v>
      </c>
      <c r="E178" s="1095"/>
      <c r="F178" s="1095"/>
      <c r="G178" s="1095"/>
      <c r="H178" s="1095"/>
      <c r="I178" s="1095"/>
      <c r="J178" s="1095"/>
      <c r="K178" s="1095"/>
      <c r="L178" s="1095"/>
      <c r="M178" s="1093" t="s">
        <v>520</v>
      </c>
      <c r="N178" s="1157">
        <v>10000</v>
      </c>
      <c r="O178" s="1095"/>
      <c r="P178" s="1095"/>
      <c r="Q178" s="1095"/>
      <c r="R178" s="1095"/>
      <c r="S178" s="1095"/>
      <c r="T178" s="1095"/>
    </row>
    <row r="179" spans="1:20" ht="131.25">
      <c r="A179" s="1139"/>
      <c r="B179" s="1093" t="s">
        <v>1467</v>
      </c>
      <c r="C179" s="1097" t="s">
        <v>1353</v>
      </c>
      <c r="D179" s="1112" t="s">
        <v>34</v>
      </c>
      <c r="E179" s="1095"/>
      <c r="F179" s="1095"/>
      <c r="G179" s="1095"/>
      <c r="H179" s="1095"/>
      <c r="I179" s="1095"/>
      <c r="J179" s="1095"/>
      <c r="K179" s="1095"/>
      <c r="L179" s="1095"/>
      <c r="M179" s="1093" t="s">
        <v>520</v>
      </c>
      <c r="N179" s="1157" t="s">
        <v>1375</v>
      </c>
      <c r="O179" s="1095"/>
      <c r="P179" s="1095"/>
      <c r="Q179" s="1095"/>
      <c r="R179" s="1095"/>
      <c r="S179" s="1095"/>
      <c r="T179" s="1095"/>
    </row>
    <row r="180" spans="1:20" ht="75">
      <c r="A180" s="1140"/>
      <c r="B180" s="1093" t="s">
        <v>55</v>
      </c>
      <c r="C180" s="1097" t="s">
        <v>1354</v>
      </c>
      <c r="D180" s="1112" t="s">
        <v>34</v>
      </c>
      <c r="E180" s="1095"/>
      <c r="F180" s="1095"/>
      <c r="G180" s="1095"/>
      <c r="H180" s="1095"/>
      <c r="I180" s="1095"/>
      <c r="J180" s="1095"/>
      <c r="K180" s="1095"/>
      <c r="L180" s="1095"/>
      <c r="M180" s="1093" t="s">
        <v>520</v>
      </c>
      <c r="N180" s="1157">
        <v>0</v>
      </c>
      <c r="O180" s="1095"/>
      <c r="P180" s="1095"/>
      <c r="Q180" s="1095"/>
      <c r="R180" s="1095"/>
      <c r="S180" s="1095"/>
      <c r="T180" s="1095"/>
    </row>
    <row r="181" spans="1:20" ht="37.5">
      <c r="A181" s="1138"/>
      <c r="B181" s="1093" t="s">
        <v>81</v>
      </c>
      <c r="C181" s="1097" t="s">
        <v>1355</v>
      </c>
      <c r="D181" s="1112" t="s">
        <v>34</v>
      </c>
      <c r="E181" s="1095"/>
      <c r="F181" s="1095"/>
      <c r="G181" s="1095"/>
      <c r="H181" s="1095"/>
      <c r="I181" s="1095"/>
      <c r="J181" s="1095"/>
      <c r="K181" s="1095"/>
      <c r="L181" s="1095"/>
      <c r="M181" s="1093" t="s">
        <v>520</v>
      </c>
      <c r="N181" s="1157">
        <v>20000</v>
      </c>
      <c r="O181" s="1095"/>
      <c r="P181" s="1095"/>
      <c r="Q181" s="1095"/>
      <c r="R181" s="1095"/>
      <c r="S181" s="1095"/>
      <c r="T181" s="1095"/>
    </row>
    <row r="182" spans="1:20" ht="37.5">
      <c r="A182" s="1138"/>
      <c r="B182" s="1093" t="s">
        <v>55</v>
      </c>
      <c r="C182" s="1097" t="s">
        <v>1356</v>
      </c>
      <c r="D182" s="1112" t="s">
        <v>34</v>
      </c>
      <c r="E182" s="1095"/>
      <c r="F182" s="1095"/>
      <c r="G182" s="1095"/>
      <c r="H182" s="1095"/>
      <c r="I182" s="1095"/>
      <c r="J182" s="1095"/>
      <c r="K182" s="1095"/>
      <c r="L182" s="1095"/>
      <c r="M182" s="1093" t="s">
        <v>520</v>
      </c>
      <c r="N182" s="1157">
        <v>20000</v>
      </c>
      <c r="O182" s="1095"/>
      <c r="P182" s="1095"/>
      <c r="Q182" s="1095"/>
      <c r="R182" s="1095"/>
      <c r="S182" s="1095"/>
      <c r="T182" s="1095"/>
    </row>
    <row r="183" spans="1:20" ht="56.25">
      <c r="A183" s="1138"/>
      <c r="B183" s="1093" t="s">
        <v>81</v>
      </c>
      <c r="C183" s="1097" t="s">
        <v>1357</v>
      </c>
      <c r="D183" s="1112" t="s">
        <v>34</v>
      </c>
      <c r="E183" s="1095"/>
      <c r="F183" s="1095"/>
      <c r="G183" s="1095"/>
      <c r="H183" s="1095"/>
      <c r="I183" s="1095"/>
      <c r="J183" s="1095"/>
      <c r="K183" s="1095"/>
      <c r="L183" s="1095"/>
      <c r="M183" s="1093" t="s">
        <v>520</v>
      </c>
      <c r="N183" s="1157">
        <v>710000</v>
      </c>
      <c r="O183" s="1095"/>
      <c r="P183" s="1095"/>
      <c r="Q183" s="1095"/>
      <c r="R183" s="1095"/>
      <c r="S183" s="1095"/>
      <c r="T183" s="1095"/>
    </row>
    <row r="184" spans="1:20" ht="56.25">
      <c r="A184" s="1138"/>
      <c r="B184" s="1093" t="s">
        <v>455</v>
      </c>
      <c r="C184" s="1097" t="s">
        <v>1358</v>
      </c>
      <c r="D184" s="1112" t="s">
        <v>34</v>
      </c>
      <c r="E184" s="1095"/>
      <c r="F184" s="1095"/>
      <c r="G184" s="1095"/>
      <c r="H184" s="1095"/>
      <c r="I184" s="1095"/>
      <c r="J184" s="1095"/>
      <c r="K184" s="1095"/>
      <c r="L184" s="1095"/>
      <c r="M184" s="1093" t="s">
        <v>520</v>
      </c>
      <c r="N184" s="1157">
        <v>250000</v>
      </c>
      <c r="O184" s="1095"/>
      <c r="P184" s="1095"/>
      <c r="Q184" s="1095"/>
      <c r="R184" s="1095"/>
      <c r="S184" s="1095"/>
      <c r="T184" s="1095"/>
    </row>
    <row r="185" spans="1:20" ht="56.25">
      <c r="A185" s="1138"/>
      <c r="B185" s="1093" t="s">
        <v>455</v>
      </c>
      <c r="C185" s="1097" t="s">
        <v>1359</v>
      </c>
      <c r="D185" s="1112" t="s">
        <v>34</v>
      </c>
      <c r="E185" s="1095"/>
      <c r="F185" s="1095"/>
      <c r="G185" s="1095"/>
      <c r="H185" s="1095"/>
      <c r="I185" s="1095"/>
      <c r="J185" s="1095"/>
      <c r="K185" s="1095"/>
      <c r="L185" s="1095"/>
      <c r="M185" s="1093" t="s">
        <v>520</v>
      </c>
      <c r="N185" s="1157">
        <v>300000</v>
      </c>
      <c r="O185" s="1095"/>
      <c r="P185" s="1095"/>
      <c r="Q185" s="1095"/>
      <c r="R185" s="1095"/>
      <c r="S185" s="1095"/>
      <c r="T185" s="1095"/>
    </row>
    <row r="186" spans="1:20" ht="37.5">
      <c r="A186" s="1138"/>
      <c r="B186" s="1093" t="s">
        <v>455</v>
      </c>
      <c r="C186" s="1097" t="s">
        <v>1360</v>
      </c>
      <c r="D186" s="1112" t="s">
        <v>34</v>
      </c>
      <c r="E186" s="1095"/>
      <c r="F186" s="1095"/>
      <c r="G186" s="1095"/>
      <c r="H186" s="1095"/>
      <c r="I186" s="1095"/>
      <c r="J186" s="1095"/>
      <c r="K186" s="1095"/>
      <c r="L186" s="1095"/>
      <c r="M186" s="1093" t="s">
        <v>520</v>
      </c>
      <c r="N186" s="1157">
        <v>100000</v>
      </c>
      <c r="O186" s="1095"/>
      <c r="P186" s="1095"/>
      <c r="Q186" s="1095"/>
      <c r="R186" s="1095"/>
      <c r="S186" s="1095"/>
      <c r="T186" s="1095"/>
    </row>
    <row r="187" spans="1:20" ht="38.25" thickBot="1">
      <c r="A187" s="1141"/>
      <c r="B187" s="1099" t="s">
        <v>577</v>
      </c>
      <c r="C187" s="1100" t="s">
        <v>1361</v>
      </c>
      <c r="D187" s="1147" t="s">
        <v>34</v>
      </c>
      <c r="E187" s="1101"/>
      <c r="F187" s="1101"/>
      <c r="G187" s="1101"/>
      <c r="H187" s="1101"/>
      <c r="I187" s="1101"/>
      <c r="J187" s="1101"/>
      <c r="K187" s="1101"/>
      <c r="L187" s="1101"/>
      <c r="M187" s="1093" t="s">
        <v>520</v>
      </c>
      <c r="N187" s="1158">
        <v>480000</v>
      </c>
      <c r="O187" s="1101"/>
      <c r="P187" s="1101"/>
      <c r="Q187" s="1101"/>
      <c r="R187" s="1101"/>
      <c r="S187" s="1101"/>
      <c r="T187" s="1101"/>
    </row>
    <row r="188" spans="1:20" ht="84.75" thickBot="1">
      <c r="A188" s="1103">
        <v>9</v>
      </c>
      <c r="B188" s="1104" t="s">
        <v>1467</v>
      </c>
      <c r="C188" s="1105" t="s">
        <v>1362</v>
      </c>
      <c r="D188" s="1146" t="s">
        <v>1472</v>
      </c>
      <c r="E188" s="1106"/>
      <c r="F188" s="1106"/>
      <c r="G188" s="1106"/>
      <c r="H188" s="1106"/>
      <c r="I188" s="1106"/>
      <c r="J188" s="1106"/>
      <c r="K188" s="1106"/>
      <c r="L188" s="1106"/>
      <c r="M188" s="1111" t="s">
        <v>1469</v>
      </c>
      <c r="N188" s="1107">
        <v>239800</v>
      </c>
      <c r="O188" s="1107"/>
      <c r="P188" s="1106"/>
      <c r="Q188" s="1106"/>
      <c r="R188" s="1106"/>
      <c r="S188" s="1106"/>
      <c r="T188" s="1106"/>
    </row>
    <row r="189" spans="1:20" ht="84.75" thickBot="1">
      <c r="A189" s="1103">
        <v>10</v>
      </c>
      <c r="B189" s="1104" t="s">
        <v>1467</v>
      </c>
      <c r="C189" s="1105" t="s">
        <v>1363</v>
      </c>
      <c r="D189" s="1145" t="s">
        <v>1473</v>
      </c>
      <c r="E189" s="1106"/>
      <c r="F189" s="1106"/>
      <c r="G189" s="1106"/>
      <c r="H189" s="1106"/>
      <c r="I189" s="1106"/>
      <c r="J189" s="1106"/>
      <c r="K189" s="1106"/>
      <c r="L189" s="1106"/>
      <c r="M189" s="1111" t="s">
        <v>1469</v>
      </c>
      <c r="N189" s="1107">
        <v>239800</v>
      </c>
      <c r="O189" s="1107"/>
      <c r="P189" s="1106"/>
      <c r="Q189" s="1106"/>
      <c r="R189" s="1106"/>
      <c r="S189" s="1106"/>
      <c r="T189" s="1106"/>
    </row>
    <row r="190" spans="1:20" ht="63.75" thickBot="1">
      <c r="A190" s="1103">
        <v>11</v>
      </c>
      <c r="B190" s="1104" t="s">
        <v>1467</v>
      </c>
      <c r="C190" s="1105" t="s">
        <v>1364</v>
      </c>
      <c r="D190" s="1145" t="s">
        <v>1474</v>
      </c>
      <c r="E190" s="1106"/>
      <c r="F190" s="1106"/>
      <c r="G190" s="1106"/>
      <c r="H190" s="1106"/>
      <c r="I190" s="1106"/>
      <c r="J190" s="1106"/>
      <c r="K190" s="1106"/>
      <c r="L190" s="1106"/>
      <c r="M190" s="1111" t="s">
        <v>1469</v>
      </c>
      <c r="N190" s="1107">
        <v>140700</v>
      </c>
      <c r="O190" s="1107"/>
      <c r="P190" s="1106"/>
      <c r="Q190" s="1106"/>
      <c r="R190" s="1106"/>
      <c r="S190" s="1106"/>
      <c r="T190" s="1106"/>
    </row>
    <row r="191" spans="1:20" ht="84.75" thickBot="1">
      <c r="A191" s="1103">
        <v>12</v>
      </c>
      <c r="B191" s="1104" t="s">
        <v>1467</v>
      </c>
      <c r="C191" s="1105" t="s">
        <v>1365</v>
      </c>
      <c r="D191" s="1145" t="s">
        <v>1475</v>
      </c>
      <c r="E191" s="1106"/>
      <c r="F191" s="1106"/>
      <c r="G191" s="1106"/>
      <c r="H191" s="1106"/>
      <c r="I191" s="1106"/>
      <c r="J191" s="1106"/>
      <c r="K191" s="1106"/>
      <c r="L191" s="1106"/>
      <c r="M191" s="1111" t="s">
        <v>1469</v>
      </c>
      <c r="N191" s="1107">
        <v>182500</v>
      </c>
      <c r="O191" s="1107"/>
      <c r="P191" s="1106"/>
      <c r="Q191" s="1106"/>
      <c r="R191" s="1106"/>
      <c r="S191" s="1106"/>
      <c r="T191" s="1106"/>
    </row>
    <row r="192" spans="1:20" ht="105.75" thickBot="1">
      <c r="A192" s="1103">
        <v>13</v>
      </c>
      <c r="B192" s="1104" t="s">
        <v>45</v>
      </c>
      <c r="C192" s="1105" t="s">
        <v>1366</v>
      </c>
      <c r="D192" s="1145" t="s">
        <v>1480</v>
      </c>
      <c r="E192" s="1106"/>
      <c r="F192" s="1106"/>
      <c r="G192" s="1106"/>
      <c r="H192" s="1106"/>
      <c r="I192" s="1106"/>
      <c r="J192" s="1106"/>
      <c r="K192" s="1106"/>
      <c r="L192" s="1106"/>
      <c r="M192" s="1111" t="s">
        <v>1469</v>
      </c>
      <c r="N192" s="1107">
        <f>80000/2</f>
        <v>40000</v>
      </c>
      <c r="O192" s="1107">
        <v>0</v>
      </c>
      <c r="P192" s="1106"/>
      <c r="Q192" s="1106"/>
      <c r="R192" s="1106"/>
      <c r="S192" s="1106"/>
      <c r="T192" s="1106"/>
    </row>
    <row r="193" spans="1:20" ht="42.75" thickBot="1">
      <c r="A193" s="1103">
        <v>14</v>
      </c>
      <c r="B193" s="1104" t="s">
        <v>81</v>
      </c>
      <c r="C193" s="1105" t="s">
        <v>1367</v>
      </c>
      <c r="D193" s="1145" t="s">
        <v>1481</v>
      </c>
      <c r="E193" s="1106"/>
      <c r="F193" s="1106"/>
      <c r="G193" s="1106"/>
      <c r="H193" s="1106"/>
      <c r="I193" s="1106"/>
      <c r="J193" s="1106"/>
      <c r="K193" s="1106"/>
      <c r="L193" s="1106"/>
      <c r="M193" s="1111" t="s">
        <v>1469</v>
      </c>
      <c r="N193" s="1107">
        <f>135000/2</f>
        <v>67500</v>
      </c>
      <c r="O193" s="1107">
        <v>0</v>
      </c>
      <c r="P193" s="1106"/>
      <c r="Q193" s="1106"/>
      <c r="R193" s="1106"/>
      <c r="S193" s="1106"/>
      <c r="T193" s="1106"/>
    </row>
    <row r="194" spans="1:20" ht="42.75" thickBot="1">
      <c r="A194" s="1103">
        <v>15</v>
      </c>
      <c r="B194" s="1104" t="s">
        <v>81</v>
      </c>
      <c r="C194" s="1105" t="s">
        <v>1368</v>
      </c>
      <c r="D194" s="1145" t="s">
        <v>1482</v>
      </c>
      <c r="E194" s="1106"/>
      <c r="F194" s="1106"/>
      <c r="G194" s="1106"/>
      <c r="H194" s="1106"/>
      <c r="I194" s="1106"/>
      <c r="J194" s="1106"/>
      <c r="K194" s="1106"/>
      <c r="L194" s="1106"/>
      <c r="M194" s="1111" t="s">
        <v>1469</v>
      </c>
      <c r="N194" s="1107">
        <f>142000/2</f>
        <v>71000</v>
      </c>
      <c r="O194" s="1107">
        <v>0</v>
      </c>
      <c r="P194" s="1106"/>
      <c r="Q194" s="1106"/>
      <c r="R194" s="1106"/>
      <c r="S194" s="1106"/>
      <c r="T194" s="1106"/>
    </row>
    <row r="195" spans="1:20" s="1155" customFormat="1" ht="42.75" thickBot="1">
      <c r="A195" s="1148">
        <v>16</v>
      </c>
      <c r="B195" s="1149" t="s">
        <v>81</v>
      </c>
      <c r="C195" s="1150" t="s">
        <v>1369</v>
      </c>
      <c r="D195" s="1151" t="s">
        <v>1483</v>
      </c>
      <c r="E195" s="1152"/>
      <c r="F195" s="1152"/>
      <c r="G195" s="1152"/>
      <c r="H195" s="1152"/>
      <c r="I195" s="1152"/>
      <c r="J195" s="1152"/>
      <c r="K195" s="1152"/>
      <c r="L195" s="1152"/>
      <c r="M195" s="1153" t="s">
        <v>1469</v>
      </c>
      <c r="N195" s="1154">
        <f>89000/2</f>
        <v>44500</v>
      </c>
      <c r="O195" s="1154">
        <v>0</v>
      </c>
      <c r="P195" s="1152"/>
      <c r="Q195" s="1152"/>
      <c r="R195" s="1152"/>
      <c r="S195" s="1152"/>
      <c r="T195" s="1152"/>
    </row>
    <row r="196" spans="1:20" ht="84.75" thickBot="1">
      <c r="A196" s="1103">
        <v>17</v>
      </c>
      <c r="B196" s="1104" t="s">
        <v>89</v>
      </c>
      <c r="C196" s="1105" t="s">
        <v>1370</v>
      </c>
      <c r="D196" s="1145" t="s">
        <v>1484</v>
      </c>
      <c r="E196" s="1106"/>
      <c r="F196" s="1106"/>
      <c r="G196" s="1106"/>
      <c r="H196" s="1106"/>
      <c r="I196" s="1106"/>
      <c r="J196" s="1106"/>
      <c r="K196" s="1106"/>
      <c r="L196" s="1106"/>
      <c r="M196" s="1111" t="s">
        <v>1469</v>
      </c>
      <c r="N196" s="1107">
        <f>139000/2</f>
        <v>69500</v>
      </c>
      <c r="O196" s="1107">
        <v>0</v>
      </c>
      <c r="P196" s="1106"/>
      <c r="Q196" s="1106"/>
      <c r="R196" s="1106"/>
      <c r="S196" s="1106"/>
      <c r="T196" s="1106"/>
    </row>
    <row r="197" spans="1:20" ht="42.75" thickBot="1">
      <c r="A197" s="1103">
        <v>18</v>
      </c>
      <c r="B197" s="1104" t="s">
        <v>45</v>
      </c>
      <c r="C197" s="1105" t="s">
        <v>449</v>
      </c>
      <c r="D197" s="1145" t="s">
        <v>1485</v>
      </c>
      <c r="E197" s="1106"/>
      <c r="F197" s="1106"/>
      <c r="G197" s="1106"/>
      <c r="H197" s="1106"/>
      <c r="I197" s="1106"/>
      <c r="J197" s="1106"/>
      <c r="K197" s="1106"/>
      <c r="L197" s="1106"/>
      <c r="M197" s="1111" t="s">
        <v>1469</v>
      </c>
      <c r="N197" s="1107">
        <f>267200/2</f>
        <v>133600</v>
      </c>
      <c r="O197" s="1107">
        <v>0</v>
      </c>
      <c r="P197" s="1106"/>
      <c r="Q197" s="1106"/>
      <c r="R197" s="1106"/>
      <c r="S197" s="1106"/>
      <c r="T197" s="1106"/>
    </row>
    <row r="198" spans="1:20" ht="63.75" thickBot="1">
      <c r="A198" s="1103">
        <v>19</v>
      </c>
      <c r="B198" s="1104" t="s">
        <v>455</v>
      </c>
      <c r="C198" s="1105" t="s">
        <v>1371</v>
      </c>
      <c r="D198" s="1145" t="s">
        <v>1476</v>
      </c>
      <c r="E198" s="1106"/>
      <c r="F198" s="1106"/>
      <c r="G198" s="1106"/>
      <c r="H198" s="1106"/>
      <c r="I198" s="1106"/>
      <c r="J198" s="1106"/>
      <c r="K198" s="1106"/>
      <c r="L198" s="1106"/>
      <c r="M198" s="1111" t="s">
        <v>1469</v>
      </c>
      <c r="N198" s="1107">
        <f>87500/2</f>
        <v>43750</v>
      </c>
      <c r="O198" s="1107">
        <v>0</v>
      </c>
      <c r="P198" s="1106"/>
      <c r="Q198" s="1106"/>
      <c r="R198" s="1106"/>
      <c r="S198" s="1106"/>
      <c r="T198" s="1106"/>
    </row>
    <row r="199" spans="1:20" ht="42.75" thickBot="1">
      <c r="A199" s="1103">
        <v>20</v>
      </c>
      <c r="B199" s="1104" t="s">
        <v>455</v>
      </c>
      <c r="C199" s="1105" t="s">
        <v>1372</v>
      </c>
      <c r="D199" s="1145" t="s">
        <v>1477</v>
      </c>
      <c r="E199" s="1106"/>
      <c r="F199" s="1106"/>
      <c r="G199" s="1106"/>
      <c r="H199" s="1106"/>
      <c r="I199" s="1106"/>
      <c r="J199" s="1106"/>
      <c r="K199" s="1106"/>
      <c r="L199" s="1106"/>
      <c r="M199" s="1111" t="s">
        <v>1469</v>
      </c>
      <c r="N199" s="1107">
        <f>87000/2</f>
        <v>43500</v>
      </c>
      <c r="O199" s="1107">
        <v>0</v>
      </c>
      <c r="P199" s="1106"/>
      <c r="Q199" s="1106"/>
      <c r="R199" s="1106"/>
      <c r="S199" s="1106"/>
      <c r="T199" s="1106"/>
    </row>
    <row r="200" spans="1:20" ht="42.75" thickBot="1">
      <c r="A200" s="1103">
        <v>21</v>
      </c>
      <c r="B200" s="1104" t="s">
        <v>81</v>
      </c>
      <c r="C200" s="1105" t="s">
        <v>1373</v>
      </c>
      <c r="D200" s="1145" t="s">
        <v>1478</v>
      </c>
      <c r="E200" s="1106"/>
      <c r="F200" s="1106"/>
      <c r="G200" s="1106"/>
      <c r="H200" s="1106"/>
      <c r="I200" s="1106"/>
      <c r="J200" s="1106"/>
      <c r="K200" s="1106"/>
      <c r="L200" s="1106"/>
      <c r="M200" s="1111" t="s">
        <v>1469</v>
      </c>
      <c r="N200" s="1107">
        <f>20000/2</f>
        <v>10000</v>
      </c>
      <c r="O200" s="1107">
        <v>0</v>
      </c>
      <c r="P200" s="1106"/>
      <c r="Q200" s="1106"/>
      <c r="R200" s="1106"/>
      <c r="S200" s="1106"/>
      <c r="T200" s="1106"/>
    </row>
    <row r="201" spans="1:20" ht="38.25" thickBot="1">
      <c r="A201" s="1103">
        <v>22</v>
      </c>
      <c r="B201" s="1104" t="s">
        <v>81</v>
      </c>
      <c r="C201" s="1105" t="s">
        <v>1374</v>
      </c>
      <c r="D201" s="1145" t="s">
        <v>1479</v>
      </c>
      <c r="E201" s="1106"/>
      <c r="F201" s="1106"/>
      <c r="G201" s="1106"/>
      <c r="H201" s="1106"/>
      <c r="I201" s="1106"/>
      <c r="J201" s="1106"/>
      <c r="K201" s="1106"/>
      <c r="L201" s="1106"/>
      <c r="M201" s="1111" t="s">
        <v>1469</v>
      </c>
      <c r="N201" s="1108">
        <f>113100/2</f>
        <v>56550</v>
      </c>
      <c r="O201" s="1107">
        <v>0</v>
      </c>
      <c r="P201" s="1106"/>
      <c r="Q201" s="1106"/>
      <c r="R201" s="1106"/>
      <c r="S201" s="1106"/>
      <c r="T201" s="1106"/>
    </row>
    <row r="202" spans="1:20">
      <c r="A202" s="1045"/>
      <c r="C202" s="1046"/>
      <c r="D202" s="1047"/>
      <c r="N202" s="1048"/>
      <c r="O202" s="1048"/>
    </row>
    <row r="203" spans="1:20">
      <c r="A203" s="1045"/>
      <c r="C203" s="1046"/>
      <c r="D203" s="1047"/>
      <c r="N203" s="1048"/>
      <c r="O203" s="1048"/>
    </row>
    <row r="204" spans="1:20">
      <c r="A204" s="1045"/>
      <c r="C204" s="1046"/>
      <c r="D204" s="1047"/>
      <c r="N204" s="1048"/>
      <c r="O204" s="1048"/>
    </row>
    <row r="205" spans="1:20">
      <c r="A205" s="1045"/>
      <c r="C205" s="1046"/>
      <c r="D205" s="1047"/>
      <c r="N205" s="1048"/>
      <c r="O205" s="1048"/>
    </row>
    <row r="206" spans="1:20">
      <c r="A206" s="1045"/>
      <c r="C206" s="1046"/>
      <c r="D206" s="1047"/>
      <c r="N206" s="1048"/>
      <c r="O206" s="1048"/>
    </row>
    <row r="207" spans="1:20">
      <c r="A207" s="1045"/>
      <c r="C207" s="1046"/>
      <c r="D207" s="1047"/>
      <c r="N207" s="1048"/>
      <c r="O207" s="1048"/>
    </row>
    <row r="208" spans="1:20">
      <c r="A208" s="1045"/>
      <c r="C208" s="1046"/>
      <c r="D208" s="1047"/>
      <c r="N208" s="1048"/>
      <c r="O208" s="1048"/>
    </row>
    <row r="209" spans="1:15">
      <c r="A209" s="1045"/>
      <c r="C209" s="1046"/>
      <c r="D209" s="1047"/>
      <c r="N209" s="1048"/>
      <c r="O209" s="1048"/>
    </row>
    <row r="210" spans="1:15">
      <c r="A210" s="1045"/>
      <c r="C210" s="1046"/>
      <c r="D210" s="1047"/>
      <c r="N210" s="1048"/>
      <c r="O210" s="1048"/>
    </row>
    <row r="211" spans="1:15">
      <c r="A211" s="1045"/>
      <c r="C211" s="1046"/>
      <c r="D211" s="1047"/>
      <c r="N211" s="1048"/>
      <c r="O211" s="1048"/>
    </row>
    <row r="212" spans="1:15">
      <c r="A212" s="1045"/>
      <c r="C212" s="1046"/>
      <c r="D212" s="1047"/>
      <c r="N212" s="1048"/>
      <c r="O212" s="1048"/>
    </row>
    <row r="213" spans="1:15">
      <c r="A213" s="1045"/>
      <c r="C213" s="1046"/>
      <c r="D213" s="1047"/>
      <c r="N213" s="1048"/>
      <c r="O213" s="1048"/>
    </row>
    <row r="214" spans="1:15">
      <c r="A214" s="1045"/>
      <c r="C214" s="1046"/>
      <c r="D214" s="1047"/>
      <c r="N214" s="1048"/>
      <c r="O214" s="1048"/>
    </row>
    <row r="215" spans="1:15">
      <c r="A215" s="1045"/>
      <c r="C215" s="1046"/>
      <c r="D215" s="1047"/>
      <c r="N215" s="1048"/>
      <c r="O215" s="1048"/>
    </row>
    <row r="216" spans="1:15">
      <c r="A216" s="1045"/>
      <c r="C216" s="1046"/>
      <c r="D216" s="1047"/>
      <c r="N216" s="1048"/>
      <c r="O216" s="1048"/>
    </row>
    <row r="217" spans="1:15">
      <c r="A217" s="1045"/>
      <c r="C217" s="1046"/>
      <c r="D217" s="1047"/>
      <c r="N217" s="1048"/>
      <c r="O217" s="1048"/>
    </row>
    <row r="218" spans="1:15">
      <c r="A218" s="1045"/>
      <c r="C218" s="1046"/>
      <c r="D218" s="1047"/>
      <c r="N218" s="1048"/>
      <c r="O218" s="1048"/>
    </row>
    <row r="219" spans="1:15">
      <c r="A219" s="1045"/>
      <c r="C219" s="1046"/>
      <c r="D219" s="1047"/>
      <c r="N219" s="1048"/>
      <c r="O219" s="1048"/>
    </row>
    <row r="220" spans="1:15">
      <c r="A220" s="1045"/>
      <c r="C220" s="1046"/>
      <c r="D220" s="1047"/>
      <c r="N220" s="1048"/>
      <c r="O220" s="1048"/>
    </row>
    <row r="221" spans="1:15">
      <c r="A221" s="1045"/>
      <c r="C221" s="1046"/>
      <c r="D221" s="1047"/>
      <c r="N221" s="1048"/>
      <c r="O221" s="1048"/>
    </row>
    <row r="222" spans="1:15">
      <c r="A222" s="1045"/>
      <c r="C222" s="1046"/>
      <c r="D222" s="1047"/>
      <c r="N222" s="1048"/>
      <c r="O222" s="1048"/>
    </row>
    <row r="223" spans="1:15">
      <c r="A223" s="1045"/>
      <c r="C223" s="1046"/>
      <c r="D223" s="1047"/>
      <c r="N223" s="1048"/>
      <c r="O223" s="1048"/>
    </row>
    <row r="224" spans="1:15">
      <c r="A224" s="1045"/>
      <c r="C224" s="1046"/>
      <c r="D224" s="1047"/>
      <c r="N224" s="1048"/>
      <c r="O224" s="1048"/>
    </row>
    <row r="225" spans="1:15">
      <c r="A225" s="1045"/>
      <c r="C225" s="1046"/>
      <c r="D225" s="1047"/>
      <c r="N225" s="1048"/>
      <c r="O225" s="1048"/>
    </row>
    <row r="226" spans="1:15">
      <c r="A226" s="1045"/>
      <c r="C226" s="1046"/>
      <c r="D226" s="1047"/>
      <c r="N226" s="1048"/>
      <c r="O226" s="1048"/>
    </row>
    <row r="227" spans="1:15">
      <c r="A227" s="1045"/>
      <c r="C227" s="1046"/>
      <c r="D227" s="1047"/>
      <c r="N227" s="1048"/>
      <c r="O227" s="1048"/>
    </row>
    <row r="228" spans="1:15">
      <c r="A228" s="1045"/>
      <c r="C228" s="1046"/>
      <c r="D228" s="1047"/>
      <c r="N228" s="1048"/>
      <c r="O228" s="1048"/>
    </row>
    <row r="229" spans="1:15">
      <c r="A229" s="1045"/>
      <c r="C229" s="1046"/>
      <c r="D229" s="1047"/>
      <c r="N229" s="1048"/>
      <c r="O229" s="1048"/>
    </row>
    <row r="230" spans="1:15">
      <c r="A230" s="1045"/>
      <c r="C230" s="1046"/>
      <c r="D230" s="1047"/>
      <c r="N230" s="1048"/>
      <c r="O230" s="1048"/>
    </row>
    <row r="231" spans="1:15">
      <c r="A231" s="1045"/>
      <c r="C231" s="1046"/>
      <c r="D231" s="1047"/>
      <c r="N231" s="1048"/>
      <c r="O231" s="1048"/>
    </row>
    <row r="232" spans="1:15">
      <c r="A232" s="1045"/>
      <c r="C232" s="1046"/>
      <c r="D232" s="1047"/>
      <c r="N232" s="1048"/>
      <c r="O232" s="1048"/>
    </row>
    <row r="233" spans="1:15">
      <c r="A233" s="1045"/>
      <c r="C233" s="1046"/>
      <c r="D233" s="1047"/>
      <c r="N233" s="1048"/>
      <c r="O233" s="1048"/>
    </row>
    <row r="234" spans="1:15">
      <c r="A234" s="1045"/>
      <c r="C234" s="1046"/>
      <c r="D234" s="1047"/>
      <c r="N234" s="1048"/>
      <c r="O234" s="1048"/>
    </row>
    <row r="235" spans="1:15">
      <c r="A235" s="1045"/>
      <c r="C235" s="1046"/>
      <c r="D235" s="1047"/>
      <c r="N235" s="1048"/>
      <c r="O235" s="1048"/>
    </row>
    <row r="236" spans="1:15">
      <c r="A236" s="1045"/>
      <c r="C236" s="1046"/>
      <c r="D236" s="1047"/>
      <c r="N236" s="1048"/>
      <c r="O236" s="1048"/>
    </row>
    <row r="237" spans="1:15">
      <c r="A237" s="1045"/>
      <c r="C237" s="1046"/>
      <c r="D237" s="1047"/>
      <c r="N237" s="1048"/>
      <c r="O237" s="1048"/>
    </row>
    <row r="238" spans="1:15">
      <c r="A238" s="1045"/>
      <c r="C238" s="1046"/>
      <c r="D238" s="1047"/>
      <c r="N238" s="1048"/>
      <c r="O238" s="1048"/>
    </row>
    <row r="239" spans="1:15">
      <c r="A239" s="1045"/>
      <c r="C239" s="1046"/>
      <c r="D239" s="1047"/>
      <c r="N239" s="1048"/>
      <c r="O239" s="1048"/>
    </row>
    <row r="240" spans="1:15">
      <c r="A240" s="1045"/>
      <c r="C240" s="1046"/>
      <c r="D240" s="1047"/>
      <c r="N240" s="1048"/>
      <c r="O240" s="1048"/>
    </row>
    <row r="241" spans="1:15">
      <c r="A241" s="1045"/>
      <c r="C241" s="1046"/>
      <c r="D241" s="1047"/>
      <c r="N241" s="1048"/>
      <c r="O241" s="1048"/>
    </row>
    <row r="242" spans="1:15">
      <c r="A242" s="1045"/>
      <c r="C242" s="1046"/>
      <c r="D242" s="1047"/>
      <c r="N242" s="1048"/>
      <c r="O242" s="1048"/>
    </row>
    <row r="243" spans="1:15">
      <c r="A243" s="1045"/>
      <c r="C243" s="1046"/>
      <c r="D243" s="1047"/>
      <c r="N243" s="1048"/>
      <c r="O243" s="1048"/>
    </row>
    <row r="244" spans="1:15">
      <c r="A244" s="1045"/>
      <c r="C244" s="1046"/>
      <c r="D244" s="1047"/>
      <c r="N244" s="1048"/>
      <c r="O244" s="1048"/>
    </row>
    <row r="245" spans="1:15" ht="88.5">
      <c r="A245" s="1004">
        <v>23</v>
      </c>
      <c r="C245" s="988" t="s">
        <v>1417</v>
      </c>
      <c r="D245" s="1019"/>
      <c r="N245" s="999">
        <f>SUM(N246:N261)</f>
        <v>3950000</v>
      </c>
    </row>
    <row r="246" spans="1:15" ht="42">
      <c r="A246" s="989"/>
      <c r="C246" s="1008" t="s">
        <v>1346</v>
      </c>
      <c r="D246" s="1020"/>
      <c r="N246" s="998">
        <v>500000</v>
      </c>
    </row>
    <row r="247" spans="1:15" ht="42">
      <c r="A247" s="989"/>
      <c r="C247" s="1008" t="s">
        <v>1347</v>
      </c>
      <c r="D247" s="1020"/>
      <c r="N247" s="998">
        <v>100000</v>
      </c>
    </row>
    <row r="248" spans="1:15" ht="42">
      <c r="A248" s="989"/>
      <c r="C248" s="1008" t="s">
        <v>1348</v>
      </c>
      <c r="D248" s="1020"/>
      <c r="N248" s="998">
        <v>1080000</v>
      </c>
    </row>
    <row r="249" spans="1:15" ht="105">
      <c r="A249" s="989"/>
      <c r="C249" s="1008" t="s">
        <v>1349</v>
      </c>
      <c r="D249" s="1020"/>
      <c r="N249" s="998">
        <v>80000</v>
      </c>
    </row>
    <row r="250" spans="1:15" ht="42">
      <c r="A250" s="989"/>
      <c r="C250" s="1008" t="s">
        <v>1350</v>
      </c>
      <c r="D250" s="1020"/>
      <c r="N250" s="998">
        <v>200000</v>
      </c>
    </row>
    <row r="251" spans="1:15" ht="63">
      <c r="A251" s="989"/>
      <c r="C251" s="1008" t="s">
        <v>1351</v>
      </c>
      <c r="D251" s="1020"/>
      <c r="N251" s="998">
        <v>100000</v>
      </c>
    </row>
    <row r="252" spans="1:15" ht="63">
      <c r="A252" s="989"/>
      <c r="C252" s="1008" t="s">
        <v>1352</v>
      </c>
      <c r="D252" s="1020"/>
      <c r="N252" s="998">
        <v>10000</v>
      </c>
    </row>
    <row r="253" spans="1:15" ht="147">
      <c r="A253" s="989"/>
      <c r="C253" s="1008" t="s">
        <v>1353</v>
      </c>
      <c r="D253" s="1020"/>
      <c r="N253" s="998" t="s">
        <v>1375</v>
      </c>
    </row>
    <row r="254" spans="1:15" ht="84">
      <c r="A254" s="989"/>
      <c r="C254" s="1008" t="s">
        <v>1354</v>
      </c>
      <c r="D254" s="1020"/>
      <c r="N254" s="998">
        <v>0</v>
      </c>
    </row>
    <row r="255" spans="1:15" ht="42">
      <c r="A255" s="989"/>
      <c r="C255" s="1008" t="s">
        <v>1355</v>
      </c>
      <c r="D255" s="1020"/>
      <c r="N255" s="998">
        <v>20000</v>
      </c>
    </row>
    <row r="256" spans="1:15" ht="42">
      <c r="A256" s="989"/>
      <c r="C256" s="1008" t="s">
        <v>1356</v>
      </c>
      <c r="D256" s="1020"/>
      <c r="N256" s="998">
        <v>20000</v>
      </c>
    </row>
    <row r="257" spans="1:14" ht="63">
      <c r="A257" s="989"/>
      <c r="C257" s="1008" t="s">
        <v>1357</v>
      </c>
      <c r="D257" s="1020"/>
      <c r="N257" s="998">
        <v>710000</v>
      </c>
    </row>
    <row r="258" spans="1:14" ht="63">
      <c r="A258" s="989"/>
      <c r="C258" s="1008" t="s">
        <v>1358</v>
      </c>
      <c r="D258" s="1020"/>
      <c r="N258" s="998">
        <v>250000</v>
      </c>
    </row>
    <row r="259" spans="1:14" ht="63">
      <c r="A259" s="989"/>
      <c r="C259" s="1008" t="s">
        <v>1359</v>
      </c>
      <c r="D259" s="1020"/>
      <c r="N259" s="998">
        <v>300000</v>
      </c>
    </row>
    <row r="260" spans="1:14" ht="63">
      <c r="A260" s="989"/>
      <c r="C260" s="1008" t="s">
        <v>1360</v>
      </c>
      <c r="D260" s="1020"/>
      <c r="N260" s="998">
        <v>100000</v>
      </c>
    </row>
    <row r="261" spans="1:14" ht="42">
      <c r="A261" s="989"/>
      <c r="C261" s="1008" t="s">
        <v>1361</v>
      </c>
      <c r="D261" s="1020"/>
      <c r="N261" s="998">
        <v>480000</v>
      </c>
    </row>
    <row r="262" spans="1:14">
      <c r="A262" s="1045"/>
      <c r="C262" s="1046"/>
      <c r="D262" s="1047"/>
      <c r="N262" s="1048"/>
    </row>
    <row r="1048576" spans="13:13">
      <c r="M1048576" s="1088" t="s">
        <v>1469</v>
      </c>
    </row>
  </sheetData>
  <mergeCells count="20">
    <mergeCell ref="L3:L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S3:S5"/>
    <mergeCell ref="T3:T5"/>
    <mergeCell ref="M3:M5"/>
    <mergeCell ref="N3:N5"/>
    <mergeCell ref="O3:O5"/>
    <mergeCell ref="P3:P5"/>
    <mergeCell ref="Q3:Q5"/>
    <mergeCell ref="R3: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5"/>
  <sheetViews>
    <sheetView topLeftCell="A3" zoomScale="75" zoomScaleNormal="75" workbookViewId="0">
      <pane xSplit="3" ySplit="4" topLeftCell="D22" activePane="bottomRight" state="frozen"/>
      <selection activeCell="A3" sqref="A3"/>
      <selection pane="topRight" activeCell="D3" sqref="D3"/>
      <selection pane="bottomLeft" activeCell="A7" sqref="A7"/>
      <selection pane="bottomRight" activeCell="B10" sqref="B10:B18"/>
    </sheetView>
  </sheetViews>
  <sheetFormatPr defaultColWidth="9" defaultRowHeight="21"/>
  <cols>
    <col min="1" max="1" width="6.25" style="280" customWidth="1"/>
    <col min="2" max="2" width="10.125" style="3" customWidth="1"/>
    <col min="3" max="3" width="28.75" style="3" customWidth="1"/>
    <col min="4" max="4" width="12.75" style="646" customWidth="1"/>
    <col min="5" max="6" width="10.125" style="646" customWidth="1"/>
    <col min="7" max="7" width="9" style="646" customWidth="1"/>
    <col min="8" max="8" width="8.125" style="646" customWidth="1"/>
    <col min="9" max="9" width="9" style="646" customWidth="1"/>
    <col min="10" max="10" width="12.375" style="3" hidden="1" customWidth="1"/>
    <col min="11" max="11" width="11.125" style="3" hidden="1" customWidth="1"/>
    <col min="12" max="12" width="19.25" style="3" customWidth="1"/>
    <col min="13" max="13" width="13.875" style="3" customWidth="1"/>
    <col min="14" max="14" width="14.25" style="3" customWidth="1"/>
    <col min="15" max="16" width="14" style="3" customWidth="1"/>
    <col min="17" max="17" width="14" style="775" customWidth="1"/>
    <col min="18" max="18" width="16" style="3" customWidth="1"/>
    <col min="19" max="19" width="18" style="3" customWidth="1"/>
    <col min="20" max="20" width="11" style="3" hidden="1" customWidth="1"/>
    <col min="21" max="21" width="12.125" style="3" hidden="1" customWidth="1"/>
    <col min="22" max="22" width="9.25" style="3" hidden="1" customWidth="1"/>
    <col min="23" max="23" width="8.125" style="3" hidden="1" customWidth="1"/>
    <col min="24" max="24" width="8.75" style="3" hidden="1" customWidth="1"/>
    <col min="25" max="25" width="9.625" style="3" hidden="1" customWidth="1"/>
    <col min="26" max="26" width="10.875" style="3" hidden="1" customWidth="1"/>
    <col min="27" max="27" width="9.375" style="3" hidden="1" customWidth="1"/>
    <col min="28" max="28" width="9.625" style="3" hidden="1" customWidth="1"/>
    <col min="29" max="30" width="9.75" style="3" hidden="1" customWidth="1"/>
    <col min="31" max="31" width="9.25" style="3" hidden="1" customWidth="1"/>
    <col min="32" max="263" width="9" style="3"/>
    <col min="264" max="264" width="6.25" style="3" customWidth="1"/>
    <col min="265" max="265" width="10.125" style="3" customWidth="1"/>
    <col min="266" max="266" width="29.375" style="3" customWidth="1"/>
    <col min="267" max="275" width="0" style="3" hidden="1" customWidth="1"/>
    <col min="276" max="276" width="14.75" style="3" customWidth="1"/>
    <col min="277" max="277" width="11" style="3" customWidth="1"/>
    <col min="278" max="278" width="11.125" style="3" customWidth="1"/>
    <col min="279" max="279" width="9.75" style="3" customWidth="1"/>
    <col min="280" max="280" width="10.375" style="3" customWidth="1"/>
    <col min="281" max="282" width="9.625" style="3" customWidth="1"/>
    <col min="283" max="283" width="10.875" style="3" customWidth="1"/>
    <col min="284" max="284" width="9.375" style="3" customWidth="1"/>
    <col min="285" max="285" width="10.25" style="3" customWidth="1"/>
    <col min="286" max="286" width="9.75" style="3" customWidth="1"/>
    <col min="287" max="287" width="9.25" style="3" customWidth="1"/>
    <col min="288" max="519" width="9" style="3"/>
    <col min="520" max="520" width="6.25" style="3" customWidth="1"/>
    <col min="521" max="521" width="10.125" style="3" customWidth="1"/>
    <col min="522" max="522" width="29.375" style="3" customWidth="1"/>
    <col min="523" max="531" width="0" style="3" hidden="1" customWidth="1"/>
    <col min="532" max="532" width="14.75" style="3" customWidth="1"/>
    <col min="533" max="533" width="11" style="3" customWidth="1"/>
    <col min="534" max="534" width="11.125" style="3" customWidth="1"/>
    <col min="535" max="535" width="9.75" style="3" customWidth="1"/>
    <col min="536" max="536" width="10.375" style="3" customWidth="1"/>
    <col min="537" max="538" width="9.625" style="3" customWidth="1"/>
    <col min="539" max="539" width="10.875" style="3" customWidth="1"/>
    <col min="540" max="540" width="9.375" style="3" customWidth="1"/>
    <col min="541" max="541" width="10.25" style="3" customWidth="1"/>
    <col min="542" max="542" width="9.75" style="3" customWidth="1"/>
    <col min="543" max="543" width="9.25" style="3" customWidth="1"/>
    <col min="544" max="775" width="9" style="3"/>
    <col min="776" max="776" width="6.25" style="3" customWidth="1"/>
    <col min="777" max="777" width="10.125" style="3" customWidth="1"/>
    <col min="778" max="778" width="29.375" style="3" customWidth="1"/>
    <col min="779" max="787" width="0" style="3" hidden="1" customWidth="1"/>
    <col min="788" max="788" width="14.75" style="3" customWidth="1"/>
    <col min="789" max="789" width="11" style="3" customWidth="1"/>
    <col min="790" max="790" width="11.125" style="3" customWidth="1"/>
    <col min="791" max="791" width="9.75" style="3" customWidth="1"/>
    <col min="792" max="792" width="10.375" style="3" customWidth="1"/>
    <col min="793" max="794" width="9.625" style="3" customWidth="1"/>
    <col min="795" max="795" width="10.875" style="3" customWidth="1"/>
    <col min="796" max="796" width="9.375" style="3" customWidth="1"/>
    <col min="797" max="797" width="10.25" style="3" customWidth="1"/>
    <col min="798" max="798" width="9.75" style="3" customWidth="1"/>
    <col min="799" max="799" width="9.25" style="3" customWidth="1"/>
    <col min="800" max="1031" width="9" style="3"/>
    <col min="1032" max="1032" width="6.25" style="3" customWidth="1"/>
    <col min="1033" max="1033" width="10.125" style="3" customWidth="1"/>
    <col min="1034" max="1034" width="29.375" style="3" customWidth="1"/>
    <col min="1035" max="1043" width="0" style="3" hidden="1" customWidth="1"/>
    <col min="1044" max="1044" width="14.75" style="3" customWidth="1"/>
    <col min="1045" max="1045" width="11" style="3" customWidth="1"/>
    <col min="1046" max="1046" width="11.125" style="3" customWidth="1"/>
    <col min="1047" max="1047" width="9.75" style="3" customWidth="1"/>
    <col min="1048" max="1048" width="10.375" style="3" customWidth="1"/>
    <col min="1049" max="1050" width="9.625" style="3" customWidth="1"/>
    <col min="1051" max="1051" width="10.875" style="3" customWidth="1"/>
    <col min="1052" max="1052" width="9.375" style="3" customWidth="1"/>
    <col min="1053" max="1053" width="10.25" style="3" customWidth="1"/>
    <col min="1054" max="1054" width="9.75" style="3" customWidth="1"/>
    <col min="1055" max="1055" width="9.25" style="3" customWidth="1"/>
    <col min="1056" max="1287" width="9" style="3"/>
    <col min="1288" max="1288" width="6.25" style="3" customWidth="1"/>
    <col min="1289" max="1289" width="10.125" style="3" customWidth="1"/>
    <col min="1290" max="1290" width="29.375" style="3" customWidth="1"/>
    <col min="1291" max="1299" width="0" style="3" hidden="1" customWidth="1"/>
    <col min="1300" max="1300" width="14.75" style="3" customWidth="1"/>
    <col min="1301" max="1301" width="11" style="3" customWidth="1"/>
    <col min="1302" max="1302" width="11.125" style="3" customWidth="1"/>
    <col min="1303" max="1303" width="9.75" style="3" customWidth="1"/>
    <col min="1304" max="1304" width="10.375" style="3" customWidth="1"/>
    <col min="1305" max="1306" width="9.625" style="3" customWidth="1"/>
    <col min="1307" max="1307" width="10.875" style="3" customWidth="1"/>
    <col min="1308" max="1308" width="9.375" style="3" customWidth="1"/>
    <col min="1309" max="1309" width="10.25" style="3" customWidth="1"/>
    <col min="1310" max="1310" width="9.75" style="3" customWidth="1"/>
    <col min="1311" max="1311" width="9.25" style="3" customWidth="1"/>
    <col min="1312" max="1543" width="9" style="3"/>
    <col min="1544" max="1544" width="6.25" style="3" customWidth="1"/>
    <col min="1545" max="1545" width="10.125" style="3" customWidth="1"/>
    <col min="1546" max="1546" width="29.375" style="3" customWidth="1"/>
    <col min="1547" max="1555" width="0" style="3" hidden="1" customWidth="1"/>
    <col min="1556" max="1556" width="14.75" style="3" customWidth="1"/>
    <col min="1557" max="1557" width="11" style="3" customWidth="1"/>
    <col min="1558" max="1558" width="11.125" style="3" customWidth="1"/>
    <col min="1559" max="1559" width="9.75" style="3" customWidth="1"/>
    <col min="1560" max="1560" width="10.375" style="3" customWidth="1"/>
    <col min="1561" max="1562" width="9.625" style="3" customWidth="1"/>
    <col min="1563" max="1563" width="10.875" style="3" customWidth="1"/>
    <col min="1564" max="1564" width="9.375" style="3" customWidth="1"/>
    <col min="1565" max="1565" width="10.25" style="3" customWidth="1"/>
    <col min="1566" max="1566" width="9.75" style="3" customWidth="1"/>
    <col min="1567" max="1567" width="9.25" style="3" customWidth="1"/>
    <col min="1568" max="1799" width="9" style="3"/>
    <col min="1800" max="1800" width="6.25" style="3" customWidth="1"/>
    <col min="1801" max="1801" width="10.125" style="3" customWidth="1"/>
    <col min="1802" max="1802" width="29.375" style="3" customWidth="1"/>
    <col min="1803" max="1811" width="0" style="3" hidden="1" customWidth="1"/>
    <col min="1812" max="1812" width="14.75" style="3" customWidth="1"/>
    <col min="1813" max="1813" width="11" style="3" customWidth="1"/>
    <col min="1814" max="1814" width="11.125" style="3" customWidth="1"/>
    <col min="1815" max="1815" width="9.75" style="3" customWidth="1"/>
    <col min="1816" max="1816" width="10.375" style="3" customWidth="1"/>
    <col min="1817" max="1818" width="9.625" style="3" customWidth="1"/>
    <col min="1819" max="1819" width="10.875" style="3" customWidth="1"/>
    <col min="1820" max="1820" width="9.375" style="3" customWidth="1"/>
    <col min="1821" max="1821" width="10.25" style="3" customWidth="1"/>
    <col min="1822" max="1822" width="9.75" style="3" customWidth="1"/>
    <col min="1823" max="1823" width="9.25" style="3" customWidth="1"/>
    <col min="1824" max="2055" width="9" style="3"/>
    <col min="2056" max="2056" width="6.25" style="3" customWidth="1"/>
    <col min="2057" max="2057" width="10.125" style="3" customWidth="1"/>
    <col min="2058" max="2058" width="29.375" style="3" customWidth="1"/>
    <col min="2059" max="2067" width="0" style="3" hidden="1" customWidth="1"/>
    <col min="2068" max="2068" width="14.75" style="3" customWidth="1"/>
    <col min="2069" max="2069" width="11" style="3" customWidth="1"/>
    <col min="2070" max="2070" width="11.125" style="3" customWidth="1"/>
    <col min="2071" max="2071" width="9.75" style="3" customWidth="1"/>
    <col min="2072" max="2072" width="10.375" style="3" customWidth="1"/>
    <col min="2073" max="2074" width="9.625" style="3" customWidth="1"/>
    <col min="2075" max="2075" width="10.875" style="3" customWidth="1"/>
    <col min="2076" max="2076" width="9.375" style="3" customWidth="1"/>
    <col min="2077" max="2077" width="10.25" style="3" customWidth="1"/>
    <col min="2078" max="2078" width="9.75" style="3" customWidth="1"/>
    <col min="2079" max="2079" width="9.25" style="3" customWidth="1"/>
    <col min="2080" max="2311" width="9" style="3"/>
    <col min="2312" max="2312" width="6.25" style="3" customWidth="1"/>
    <col min="2313" max="2313" width="10.125" style="3" customWidth="1"/>
    <col min="2314" max="2314" width="29.375" style="3" customWidth="1"/>
    <col min="2315" max="2323" width="0" style="3" hidden="1" customWidth="1"/>
    <col min="2324" max="2324" width="14.75" style="3" customWidth="1"/>
    <col min="2325" max="2325" width="11" style="3" customWidth="1"/>
    <col min="2326" max="2326" width="11.125" style="3" customWidth="1"/>
    <col min="2327" max="2327" width="9.75" style="3" customWidth="1"/>
    <col min="2328" max="2328" width="10.375" style="3" customWidth="1"/>
    <col min="2329" max="2330" width="9.625" style="3" customWidth="1"/>
    <col min="2331" max="2331" width="10.875" style="3" customWidth="1"/>
    <col min="2332" max="2332" width="9.375" style="3" customWidth="1"/>
    <col min="2333" max="2333" width="10.25" style="3" customWidth="1"/>
    <col min="2334" max="2334" width="9.75" style="3" customWidth="1"/>
    <col min="2335" max="2335" width="9.25" style="3" customWidth="1"/>
    <col min="2336" max="2567" width="9" style="3"/>
    <col min="2568" max="2568" width="6.25" style="3" customWidth="1"/>
    <col min="2569" max="2569" width="10.125" style="3" customWidth="1"/>
    <col min="2570" max="2570" width="29.375" style="3" customWidth="1"/>
    <col min="2571" max="2579" width="0" style="3" hidden="1" customWidth="1"/>
    <col min="2580" max="2580" width="14.75" style="3" customWidth="1"/>
    <col min="2581" max="2581" width="11" style="3" customWidth="1"/>
    <col min="2582" max="2582" width="11.125" style="3" customWidth="1"/>
    <col min="2583" max="2583" width="9.75" style="3" customWidth="1"/>
    <col min="2584" max="2584" width="10.375" style="3" customWidth="1"/>
    <col min="2585" max="2586" width="9.625" style="3" customWidth="1"/>
    <col min="2587" max="2587" width="10.875" style="3" customWidth="1"/>
    <col min="2588" max="2588" width="9.375" style="3" customWidth="1"/>
    <col min="2589" max="2589" width="10.25" style="3" customWidth="1"/>
    <col min="2590" max="2590" width="9.75" style="3" customWidth="1"/>
    <col min="2591" max="2591" width="9.25" style="3" customWidth="1"/>
    <col min="2592" max="2823" width="9" style="3"/>
    <col min="2824" max="2824" width="6.25" style="3" customWidth="1"/>
    <col min="2825" max="2825" width="10.125" style="3" customWidth="1"/>
    <col min="2826" max="2826" width="29.375" style="3" customWidth="1"/>
    <col min="2827" max="2835" width="0" style="3" hidden="1" customWidth="1"/>
    <col min="2836" max="2836" width="14.75" style="3" customWidth="1"/>
    <col min="2837" max="2837" width="11" style="3" customWidth="1"/>
    <col min="2838" max="2838" width="11.125" style="3" customWidth="1"/>
    <col min="2839" max="2839" width="9.75" style="3" customWidth="1"/>
    <col min="2840" max="2840" width="10.375" style="3" customWidth="1"/>
    <col min="2841" max="2842" width="9.625" style="3" customWidth="1"/>
    <col min="2843" max="2843" width="10.875" style="3" customWidth="1"/>
    <col min="2844" max="2844" width="9.375" style="3" customWidth="1"/>
    <col min="2845" max="2845" width="10.25" style="3" customWidth="1"/>
    <col min="2846" max="2846" width="9.75" style="3" customWidth="1"/>
    <col min="2847" max="2847" width="9.25" style="3" customWidth="1"/>
    <col min="2848" max="3079" width="9" style="3"/>
    <col min="3080" max="3080" width="6.25" style="3" customWidth="1"/>
    <col min="3081" max="3081" width="10.125" style="3" customWidth="1"/>
    <col min="3082" max="3082" width="29.375" style="3" customWidth="1"/>
    <col min="3083" max="3091" width="0" style="3" hidden="1" customWidth="1"/>
    <col min="3092" max="3092" width="14.75" style="3" customWidth="1"/>
    <col min="3093" max="3093" width="11" style="3" customWidth="1"/>
    <col min="3094" max="3094" width="11.125" style="3" customWidth="1"/>
    <col min="3095" max="3095" width="9.75" style="3" customWidth="1"/>
    <col min="3096" max="3096" width="10.375" style="3" customWidth="1"/>
    <col min="3097" max="3098" width="9.625" style="3" customWidth="1"/>
    <col min="3099" max="3099" width="10.875" style="3" customWidth="1"/>
    <col min="3100" max="3100" width="9.375" style="3" customWidth="1"/>
    <col min="3101" max="3101" width="10.25" style="3" customWidth="1"/>
    <col min="3102" max="3102" width="9.75" style="3" customWidth="1"/>
    <col min="3103" max="3103" width="9.25" style="3" customWidth="1"/>
    <col min="3104" max="3335" width="9" style="3"/>
    <col min="3336" max="3336" width="6.25" style="3" customWidth="1"/>
    <col min="3337" max="3337" width="10.125" style="3" customWidth="1"/>
    <col min="3338" max="3338" width="29.375" style="3" customWidth="1"/>
    <col min="3339" max="3347" width="0" style="3" hidden="1" customWidth="1"/>
    <col min="3348" max="3348" width="14.75" style="3" customWidth="1"/>
    <col min="3349" max="3349" width="11" style="3" customWidth="1"/>
    <col min="3350" max="3350" width="11.125" style="3" customWidth="1"/>
    <col min="3351" max="3351" width="9.75" style="3" customWidth="1"/>
    <col min="3352" max="3352" width="10.375" style="3" customWidth="1"/>
    <col min="3353" max="3354" width="9.625" style="3" customWidth="1"/>
    <col min="3355" max="3355" width="10.875" style="3" customWidth="1"/>
    <col min="3356" max="3356" width="9.375" style="3" customWidth="1"/>
    <col min="3357" max="3357" width="10.25" style="3" customWidth="1"/>
    <col min="3358" max="3358" width="9.75" style="3" customWidth="1"/>
    <col min="3359" max="3359" width="9.25" style="3" customWidth="1"/>
    <col min="3360" max="3591" width="9" style="3"/>
    <col min="3592" max="3592" width="6.25" style="3" customWidth="1"/>
    <col min="3593" max="3593" width="10.125" style="3" customWidth="1"/>
    <col min="3594" max="3594" width="29.375" style="3" customWidth="1"/>
    <col min="3595" max="3603" width="0" style="3" hidden="1" customWidth="1"/>
    <col min="3604" max="3604" width="14.75" style="3" customWidth="1"/>
    <col min="3605" max="3605" width="11" style="3" customWidth="1"/>
    <col min="3606" max="3606" width="11.125" style="3" customWidth="1"/>
    <col min="3607" max="3607" width="9.75" style="3" customWidth="1"/>
    <col min="3608" max="3608" width="10.375" style="3" customWidth="1"/>
    <col min="3609" max="3610" width="9.625" style="3" customWidth="1"/>
    <col min="3611" max="3611" width="10.875" style="3" customWidth="1"/>
    <col min="3612" max="3612" width="9.375" style="3" customWidth="1"/>
    <col min="3613" max="3613" width="10.25" style="3" customWidth="1"/>
    <col min="3614" max="3614" width="9.75" style="3" customWidth="1"/>
    <col min="3615" max="3615" width="9.25" style="3" customWidth="1"/>
    <col min="3616" max="3847" width="9" style="3"/>
    <col min="3848" max="3848" width="6.25" style="3" customWidth="1"/>
    <col min="3849" max="3849" width="10.125" style="3" customWidth="1"/>
    <col min="3850" max="3850" width="29.375" style="3" customWidth="1"/>
    <col min="3851" max="3859" width="0" style="3" hidden="1" customWidth="1"/>
    <col min="3860" max="3860" width="14.75" style="3" customWidth="1"/>
    <col min="3861" max="3861" width="11" style="3" customWidth="1"/>
    <col min="3862" max="3862" width="11.125" style="3" customWidth="1"/>
    <col min="3863" max="3863" width="9.75" style="3" customWidth="1"/>
    <col min="3864" max="3864" width="10.375" style="3" customWidth="1"/>
    <col min="3865" max="3866" width="9.625" style="3" customWidth="1"/>
    <col min="3867" max="3867" width="10.875" style="3" customWidth="1"/>
    <col min="3868" max="3868" width="9.375" style="3" customWidth="1"/>
    <col min="3869" max="3869" width="10.25" style="3" customWidth="1"/>
    <col min="3870" max="3870" width="9.75" style="3" customWidth="1"/>
    <col min="3871" max="3871" width="9.25" style="3" customWidth="1"/>
    <col min="3872" max="4103" width="9" style="3"/>
    <col min="4104" max="4104" width="6.25" style="3" customWidth="1"/>
    <col min="4105" max="4105" width="10.125" style="3" customWidth="1"/>
    <col min="4106" max="4106" width="29.375" style="3" customWidth="1"/>
    <col min="4107" max="4115" width="0" style="3" hidden="1" customWidth="1"/>
    <col min="4116" max="4116" width="14.75" style="3" customWidth="1"/>
    <col min="4117" max="4117" width="11" style="3" customWidth="1"/>
    <col min="4118" max="4118" width="11.125" style="3" customWidth="1"/>
    <col min="4119" max="4119" width="9.75" style="3" customWidth="1"/>
    <col min="4120" max="4120" width="10.375" style="3" customWidth="1"/>
    <col min="4121" max="4122" width="9.625" style="3" customWidth="1"/>
    <col min="4123" max="4123" width="10.875" style="3" customWidth="1"/>
    <col min="4124" max="4124" width="9.375" style="3" customWidth="1"/>
    <col min="4125" max="4125" width="10.25" style="3" customWidth="1"/>
    <col min="4126" max="4126" width="9.75" style="3" customWidth="1"/>
    <col min="4127" max="4127" width="9.25" style="3" customWidth="1"/>
    <col min="4128" max="4359" width="9" style="3"/>
    <col min="4360" max="4360" width="6.25" style="3" customWidth="1"/>
    <col min="4361" max="4361" width="10.125" style="3" customWidth="1"/>
    <col min="4362" max="4362" width="29.375" style="3" customWidth="1"/>
    <col min="4363" max="4371" width="0" style="3" hidden="1" customWidth="1"/>
    <col min="4372" max="4372" width="14.75" style="3" customWidth="1"/>
    <col min="4373" max="4373" width="11" style="3" customWidth="1"/>
    <col min="4374" max="4374" width="11.125" style="3" customWidth="1"/>
    <col min="4375" max="4375" width="9.75" style="3" customWidth="1"/>
    <col min="4376" max="4376" width="10.375" style="3" customWidth="1"/>
    <col min="4377" max="4378" width="9.625" style="3" customWidth="1"/>
    <col min="4379" max="4379" width="10.875" style="3" customWidth="1"/>
    <col min="4380" max="4380" width="9.375" style="3" customWidth="1"/>
    <col min="4381" max="4381" width="10.25" style="3" customWidth="1"/>
    <col min="4382" max="4382" width="9.75" style="3" customWidth="1"/>
    <col min="4383" max="4383" width="9.25" style="3" customWidth="1"/>
    <col min="4384" max="4615" width="9" style="3"/>
    <col min="4616" max="4616" width="6.25" style="3" customWidth="1"/>
    <col min="4617" max="4617" width="10.125" style="3" customWidth="1"/>
    <col min="4618" max="4618" width="29.375" style="3" customWidth="1"/>
    <col min="4619" max="4627" width="0" style="3" hidden="1" customWidth="1"/>
    <col min="4628" max="4628" width="14.75" style="3" customWidth="1"/>
    <col min="4629" max="4629" width="11" style="3" customWidth="1"/>
    <col min="4630" max="4630" width="11.125" style="3" customWidth="1"/>
    <col min="4631" max="4631" width="9.75" style="3" customWidth="1"/>
    <col min="4632" max="4632" width="10.375" style="3" customWidth="1"/>
    <col min="4633" max="4634" width="9.625" style="3" customWidth="1"/>
    <col min="4635" max="4635" width="10.875" style="3" customWidth="1"/>
    <col min="4636" max="4636" width="9.375" style="3" customWidth="1"/>
    <col min="4637" max="4637" width="10.25" style="3" customWidth="1"/>
    <col min="4638" max="4638" width="9.75" style="3" customWidth="1"/>
    <col min="4639" max="4639" width="9.25" style="3" customWidth="1"/>
    <col min="4640" max="4871" width="9" style="3"/>
    <col min="4872" max="4872" width="6.25" style="3" customWidth="1"/>
    <col min="4873" max="4873" width="10.125" style="3" customWidth="1"/>
    <col min="4874" max="4874" width="29.375" style="3" customWidth="1"/>
    <col min="4875" max="4883" width="0" style="3" hidden="1" customWidth="1"/>
    <col min="4884" max="4884" width="14.75" style="3" customWidth="1"/>
    <col min="4885" max="4885" width="11" style="3" customWidth="1"/>
    <col min="4886" max="4886" width="11.125" style="3" customWidth="1"/>
    <col min="4887" max="4887" width="9.75" style="3" customWidth="1"/>
    <col min="4888" max="4888" width="10.375" style="3" customWidth="1"/>
    <col min="4889" max="4890" width="9.625" style="3" customWidth="1"/>
    <col min="4891" max="4891" width="10.875" style="3" customWidth="1"/>
    <col min="4892" max="4892" width="9.375" style="3" customWidth="1"/>
    <col min="4893" max="4893" width="10.25" style="3" customWidth="1"/>
    <col min="4894" max="4894" width="9.75" style="3" customWidth="1"/>
    <col min="4895" max="4895" width="9.25" style="3" customWidth="1"/>
    <col min="4896" max="5127" width="9" style="3"/>
    <col min="5128" max="5128" width="6.25" style="3" customWidth="1"/>
    <col min="5129" max="5129" width="10.125" style="3" customWidth="1"/>
    <col min="5130" max="5130" width="29.375" style="3" customWidth="1"/>
    <col min="5131" max="5139" width="0" style="3" hidden="1" customWidth="1"/>
    <col min="5140" max="5140" width="14.75" style="3" customWidth="1"/>
    <col min="5141" max="5141" width="11" style="3" customWidth="1"/>
    <col min="5142" max="5142" width="11.125" style="3" customWidth="1"/>
    <col min="5143" max="5143" width="9.75" style="3" customWidth="1"/>
    <col min="5144" max="5144" width="10.375" style="3" customWidth="1"/>
    <col min="5145" max="5146" width="9.625" style="3" customWidth="1"/>
    <col min="5147" max="5147" width="10.875" style="3" customWidth="1"/>
    <col min="5148" max="5148" width="9.375" style="3" customWidth="1"/>
    <col min="5149" max="5149" width="10.25" style="3" customWidth="1"/>
    <col min="5150" max="5150" width="9.75" style="3" customWidth="1"/>
    <col min="5151" max="5151" width="9.25" style="3" customWidth="1"/>
    <col min="5152" max="5383" width="9" style="3"/>
    <col min="5384" max="5384" width="6.25" style="3" customWidth="1"/>
    <col min="5385" max="5385" width="10.125" style="3" customWidth="1"/>
    <col min="5386" max="5386" width="29.375" style="3" customWidth="1"/>
    <col min="5387" max="5395" width="0" style="3" hidden="1" customWidth="1"/>
    <col min="5396" max="5396" width="14.75" style="3" customWidth="1"/>
    <col min="5397" max="5397" width="11" style="3" customWidth="1"/>
    <col min="5398" max="5398" width="11.125" style="3" customWidth="1"/>
    <col min="5399" max="5399" width="9.75" style="3" customWidth="1"/>
    <col min="5400" max="5400" width="10.375" style="3" customWidth="1"/>
    <col min="5401" max="5402" width="9.625" style="3" customWidth="1"/>
    <col min="5403" max="5403" width="10.875" style="3" customWidth="1"/>
    <col min="5404" max="5404" width="9.375" style="3" customWidth="1"/>
    <col min="5405" max="5405" width="10.25" style="3" customWidth="1"/>
    <col min="5406" max="5406" width="9.75" style="3" customWidth="1"/>
    <col min="5407" max="5407" width="9.25" style="3" customWidth="1"/>
    <col min="5408" max="5639" width="9" style="3"/>
    <col min="5640" max="5640" width="6.25" style="3" customWidth="1"/>
    <col min="5641" max="5641" width="10.125" style="3" customWidth="1"/>
    <col min="5642" max="5642" width="29.375" style="3" customWidth="1"/>
    <col min="5643" max="5651" width="0" style="3" hidden="1" customWidth="1"/>
    <col min="5652" max="5652" width="14.75" style="3" customWidth="1"/>
    <col min="5653" max="5653" width="11" style="3" customWidth="1"/>
    <col min="5654" max="5654" width="11.125" style="3" customWidth="1"/>
    <col min="5655" max="5655" width="9.75" style="3" customWidth="1"/>
    <col min="5656" max="5656" width="10.375" style="3" customWidth="1"/>
    <col min="5657" max="5658" width="9.625" style="3" customWidth="1"/>
    <col min="5659" max="5659" width="10.875" style="3" customWidth="1"/>
    <col min="5660" max="5660" width="9.375" style="3" customWidth="1"/>
    <col min="5661" max="5661" width="10.25" style="3" customWidth="1"/>
    <col min="5662" max="5662" width="9.75" style="3" customWidth="1"/>
    <col min="5663" max="5663" width="9.25" style="3" customWidth="1"/>
    <col min="5664" max="5895" width="9" style="3"/>
    <col min="5896" max="5896" width="6.25" style="3" customWidth="1"/>
    <col min="5897" max="5897" width="10.125" style="3" customWidth="1"/>
    <col min="5898" max="5898" width="29.375" style="3" customWidth="1"/>
    <col min="5899" max="5907" width="0" style="3" hidden="1" customWidth="1"/>
    <col min="5908" max="5908" width="14.75" style="3" customWidth="1"/>
    <col min="5909" max="5909" width="11" style="3" customWidth="1"/>
    <col min="5910" max="5910" width="11.125" style="3" customWidth="1"/>
    <col min="5911" max="5911" width="9.75" style="3" customWidth="1"/>
    <col min="5912" max="5912" width="10.375" style="3" customWidth="1"/>
    <col min="5913" max="5914" width="9.625" style="3" customWidth="1"/>
    <col min="5915" max="5915" width="10.875" style="3" customWidth="1"/>
    <col min="5916" max="5916" width="9.375" style="3" customWidth="1"/>
    <col min="5917" max="5917" width="10.25" style="3" customWidth="1"/>
    <col min="5918" max="5918" width="9.75" style="3" customWidth="1"/>
    <col min="5919" max="5919" width="9.25" style="3" customWidth="1"/>
    <col min="5920" max="6151" width="9" style="3"/>
    <col min="6152" max="6152" width="6.25" style="3" customWidth="1"/>
    <col min="6153" max="6153" width="10.125" style="3" customWidth="1"/>
    <col min="6154" max="6154" width="29.375" style="3" customWidth="1"/>
    <col min="6155" max="6163" width="0" style="3" hidden="1" customWidth="1"/>
    <col min="6164" max="6164" width="14.75" style="3" customWidth="1"/>
    <col min="6165" max="6165" width="11" style="3" customWidth="1"/>
    <col min="6166" max="6166" width="11.125" style="3" customWidth="1"/>
    <col min="6167" max="6167" width="9.75" style="3" customWidth="1"/>
    <col min="6168" max="6168" width="10.375" style="3" customWidth="1"/>
    <col min="6169" max="6170" width="9.625" style="3" customWidth="1"/>
    <col min="6171" max="6171" width="10.875" style="3" customWidth="1"/>
    <col min="6172" max="6172" width="9.375" style="3" customWidth="1"/>
    <col min="6173" max="6173" width="10.25" style="3" customWidth="1"/>
    <col min="6174" max="6174" width="9.75" style="3" customWidth="1"/>
    <col min="6175" max="6175" width="9.25" style="3" customWidth="1"/>
    <col min="6176" max="6407" width="9" style="3"/>
    <col min="6408" max="6408" width="6.25" style="3" customWidth="1"/>
    <col min="6409" max="6409" width="10.125" style="3" customWidth="1"/>
    <col min="6410" max="6410" width="29.375" style="3" customWidth="1"/>
    <col min="6411" max="6419" width="0" style="3" hidden="1" customWidth="1"/>
    <col min="6420" max="6420" width="14.75" style="3" customWidth="1"/>
    <col min="6421" max="6421" width="11" style="3" customWidth="1"/>
    <col min="6422" max="6422" width="11.125" style="3" customWidth="1"/>
    <col min="6423" max="6423" width="9.75" style="3" customWidth="1"/>
    <col min="6424" max="6424" width="10.375" style="3" customWidth="1"/>
    <col min="6425" max="6426" width="9.625" style="3" customWidth="1"/>
    <col min="6427" max="6427" width="10.875" style="3" customWidth="1"/>
    <col min="6428" max="6428" width="9.375" style="3" customWidth="1"/>
    <col min="6429" max="6429" width="10.25" style="3" customWidth="1"/>
    <col min="6430" max="6430" width="9.75" style="3" customWidth="1"/>
    <col min="6431" max="6431" width="9.25" style="3" customWidth="1"/>
    <col min="6432" max="6663" width="9" style="3"/>
    <col min="6664" max="6664" width="6.25" style="3" customWidth="1"/>
    <col min="6665" max="6665" width="10.125" style="3" customWidth="1"/>
    <col min="6666" max="6666" width="29.375" style="3" customWidth="1"/>
    <col min="6667" max="6675" width="0" style="3" hidden="1" customWidth="1"/>
    <col min="6676" max="6676" width="14.75" style="3" customWidth="1"/>
    <col min="6677" max="6677" width="11" style="3" customWidth="1"/>
    <col min="6678" max="6678" width="11.125" style="3" customWidth="1"/>
    <col min="6679" max="6679" width="9.75" style="3" customWidth="1"/>
    <col min="6680" max="6680" width="10.375" style="3" customWidth="1"/>
    <col min="6681" max="6682" width="9.625" style="3" customWidth="1"/>
    <col min="6683" max="6683" width="10.875" style="3" customWidth="1"/>
    <col min="6684" max="6684" width="9.375" style="3" customWidth="1"/>
    <col min="6685" max="6685" width="10.25" style="3" customWidth="1"/>
    <col min="6686" max="6686" width="9.75" style="3" customWidth="1"/>
    <col min="6687" max="6687" width="9.25" style="3" customWidth="1"/>
    <col min="6688" max="6919" width="9" style="3"/>
    <col min="6920" max="6920" width="6.25" style="3" customWidth="1"/>
    <col min="6921" max="6921" width="10.125" style="3" customWidth="1"/>
    <col min="6922" max="6922" width="29.375" style="3" customWidth="1"/>
    <col min="6923" max="6931" width="0" style="3" hidden="1" customWidth="1"/>
    <col min="6932" max="6932" width="14.75" style="3" customWidth="1"/>
    <col min="6933" max="6933" width="11" style="3" customWidth="1"/>
    <col min="6934" max="6934" width="11.125" style="3" customWidth="1"/>
    <col min="6935" max="6935" width="9.75" style="3" customWidth="1"/>
    <col min="6936" max="6936" width="10.375" style="3" customWidth="1"/>
    <col min="6937" max="6938" width="9.625" style="3" customWidth="1"/>
    <col min="6939" max="6939" width="10.875" style="3" customWidth="1"/>
    <col min="6940" max="6940" width="9.375" style="3" customWidth="1"/>
    <col min="6941" max="6941" width="10.25" style="3" customWidth="1"/>
    <col min="6942" max="6942" width="9.75" style="3" customWidth="1"/>
    <col min="6943" max="6943" width="9.25" style="3" customWidth="1"/>
    <col min="6944" max="7175" width="9" style="3"/>
    <col min="7176" max="7176" width="6.25" style="3" customWidth="1"/>
    <col min="7177" max="7177" width="10.125" style="3" customWidth="1"/>
    <col min="7178" max="7178" width="29.375" style="3" customWidth="1"/>
    <col min="7179" max="7187" width="0" style="3" hidden="1" customWidth="1"/>
    <col min="7188" max="7188" width="14.75" style="3" customWidth="1"/>
    <col min="7189" max="7189" width="11" style="3" customWidth="1"/>
    <col min="7190" max="7190" width="11.125" style="3" customWidth="1"/>
    <col min="7191" max="7191" width="9.75" style="3" customWidth="1"/>
    <col min="7192" max="7192" width="10.375" style="3" customWidth="1"/>
    <col min="7193" max="7194" width="9.625" style="3" customWidth="1"/>
    <col min="7195" max="7195" width="10.875" style="3" customWidth="1"/>
    <col min="7196" max="7196" width="9.375" style="3" customWidth="1"/>
    <col min="7197" max="7197" width="10.25" style="3" customWidth="1"/>
    <col min="7198" max="7198" width="9.75" style="3" customWidth="1"/>
    <col min="7199" max="7199" width="9.25" style="3" customWidth="1"/>
    <col min="7200" max="7431" width="9" style="3"/>
    <col min="7432" max="7432" width="6.25" style="3" customWidth="1"/>
    <col min="7433" max="7433" width="10.125" style="3" customWidth="1"/>
    <col min="7434" max="7434" width="29.375" style="3" customWidth="1"/>
    <col min="7435" max="7443" width="0" style="3" hidden="1" customWidth="1"/>
    <col min="7444" max="7444" width="14.75" style="3" customWidth="1"/>
    <col min="7445" max="7445" width="11" style="3" customWidth="1"/>
    <col min="7446" max="7446" width="11.125" style="3" customWidth="1"/>
    <col min="7447" max="7447" width="9.75" style="3" customWidth="1"/>
    <col min="7448" max="7448" width="10.375" style="3" customWidth="1"/>
    <col min="7449" max="7450" width="9.625" style="3" customWidth="1"/>
    <col min="7451" max="7451" width="10.875" style="3" customWidth="1"/>
    <col min="7452" max="7452" width="9.375" style="3" customWidth="1"/>
    <col min="7453" max="7453" width="10.25" style="3" customWidth="1"/>
    <col min="7454" max="7454" width="9.75" style="3" customWidth="1"/>
    <col min="7455" max="7455" width="9.25" style="3" customWidth="1"/>
    <col min="7456" max="7687" width="9" style="3"/>
    <col min="7688" max="7688" width="6.25" style="3" customWidth="1"/>
    <col min="7689" max="7689" width="10.125" style="3" customWidth="1"/>
    <col min="7690" max="7690" width="29.375" style="3" customWidth="1"/>
    <col min="7691" max="7699" width="0" style="3" hidden="1" customWidth="1"/>
    <col min="7700" max="7700" width="14.75" style="3" customWidth="1"/>
    <col min="7701" max="7701" width="11" style="3" customWidth="1"/>
    <col min="7702" max="7702" width="11.125" style="3" customWidth="1"/>
    <col min="7703" max="7703" width="9.75" style="3" customWidth="1"/>
    <col min="7704" max="7704" width="10.375" style="3" customWidth="1"/>
    <col min="7705" max="7706" width="9.625" style="3" customWidth="1"/>
    <col min="7707" max="7707" width="10.875" style="3" customWidth="1"/>
    <col min="7708" max="7708" width="9.375" style="3" customWidth="1"/>
    <col min="7709" max="7709" width="10.25" style="3" customWidth="1"/>
    <col min="7710" max="7710" width="9.75" style="3" customWidth="1"/>
    <col min="7711" max="7711" width="9.25" style="3" customWidth="1"/>
    <col min="7712" max="7943" width="9" style="3"/>
    <col min="7944" max="7944" width="6.25" style="3" customWidth="1"/>
    <col min="7945" max="7945" width="10.125" style="3" customWidth="1"/>
    <col min="7946" max="7946" width="29.375" style="3" customWidth="1"/>
    <col min="7947" max="7955" width="0" style="3" hidden="1" customWidth="1"/>
    <col min="7956" max="7956" width="14.75" style="3" customWidth="1"/>
    <col min="7957" max="7957" width="11" style="3" customWidth="1"/>
    <col min="7958" max="7958" width="11.125" style="3" customWidth="1"/>
    <col min="7959" max="7959" width="9.75" style="3" customWidth="1"/>
    <col min="7960" max="7960" width="10.375" style="3" customWidth="1"/>
    <col min="7961" max="7962" width="9.625" style="3" customWidth="1"/>
    <col min="7963" max="7963" width="10.875" style="3" customWidth="1"/>
    <col min="7964" max="7964" width="9.375" style="3" customWidth="1"/>
    <col min="7965" max="7965" width="10.25" style="3" customWidth="1"/>
    <col min="7966" max="7966" width="9.75" style="3" customWidth="1"/>
    <col min="7967" max="7967" width="9.25" style="3" customWidth="1"/>
    <col min="7968" max="8199" width="9" style="3"/>
    <col min="8200" max="8200" width="6.25" style="3" customWidth="1"/>
    <col min="8201" max="8201" width="10.125" style="3" customWidth="1"/>
    <col min="8202" max="8202" width="29.375" style="3" customWidth="1"/>
    <col min="8203" max="8211" width="0" style="3" hidden="1" customWidth="1"/>
    <col min="8212" max="8212" width="14.75" style="3" customWidth="1"/>
    <col min="8213" max="8213" width="11" style="3" customWidth="1"/>
    <col min="8214" max="8214" width="11.125" style="3" customWidth="1"/>
    <col min="8215" max="8215" width="9.75" style="3" customWidth="1"/>
    <col min="8216" max="8216" width="10.375" style="3" customWidth="1"/>
    <col min="8217" max="8218" width="9.625" style="3" customWidth="1"/>
    <col min="8219" max="8219" width="10.875" style="3" customWidth="1"/>
    <col min="8220" max="8220" width="9.375" style="3" customWidth="1"/>
    <col min="8221" max="8221" width="10.25" style="3" customWidth="1"/>
    <col min="8222" max="8222" width="9.75" style="3" customWidth="1"/>
    <col min="8223" max="8223" width="9.25" style="3" customWidth="1"/>
    <col min="8224" max="8455" width="9" style="3"/>
    <col min="8456" max="8456" width="6.25" style="3" customWidth="1"/>
    <col min="8457" max="8457" width="10.125" style="3" customWidth="1"/>
    <col min="8458" max="8458" width="29.375" style="3" customWidth="1"/>
    <col min="8459" max="8467" width="0" style="3" hidden="1" customWidth="1"/>
    <col min="8468" max="8468" width="14.75" style="3" customWidth="1"/>
    <col min="8469" max="8469" width="11" style="3" customWidth="1"/>
    <col min="8470" max="8470" width="11.125" style="3" customWidth="1"/>
    <col min="8471" max="8471" width="9.75" style="3" customWidth="1"/>
    <col min="8472" max="8472" width="10.375" style="3" customWidth="1"/>
    <col min="8473" max="8474" width="9.625" style="3" customWidth="1"/>
    <col min="8475" max="8475" width="10.875" style="3" customWidth="1"/>
    <col min="8476" max="8476" width="9.375" style="3" customWidth="1"/>
    <col min="8477" max="8477" width="10.25" style="3" customWidth="1"/>
    <col min="8478" max="8478" width="9.75" style="3" customWidth="1"/>
    <col min="8479" max="8479" width="9.25" style="3" customWidth="1"/>
    <col min="8480" max="8711" width="9" style="3"/>
    <col min="8712" max="8712" width="6.25" style="3" customWidth="1"/>
    <col min="8713" max="8713" width="10.125" style="3" customWidth="1"/>
    <col min="8714" max="8714" width="29.375" style="3" customWidth="1"/>
    <col min="8715" max="8723" width="0" style="3" hidden="1" customWidth="1"/>
    <col min="8724" max="8724" width="14.75" style="3" customWidth="1"/>
    <col min="8725" max="8725" width="11" style="3" customWidth="1"/>
    <col min="8726" max="8726" width="11.125" style="3" customWidth="1"/>
    <col min="8727" max="8727" width="9.75" style="3" customWidth="1"/>
    <col min="8728" max="8728" width="10.375" style="3" customWidth="1"/>
    <col min="8729" max="8730" width="9.625" style="3" customWidth="1"/>
    <col min="8731" max="8731" width="10.875" style="3" customWidth="1"/>
    <col min="8732" max="8732" width="9.375" style="3" customWidth="1"/>
    <col min="8733" max="8733" width="10.25" style="3" customWidth="1"/>
    <col min="8734" max="8734" width="9.75" style="3" customWidth="1"/>
    <col min="8735" max="8735" width="9.25" style="3" customWidth="1"/>
    <col min="8736" max="8967" width="9" style="3"/>
    <col min="8968" max="8968" width="6.25" style="3" customWidth="1"/>
    <col min="8969" max="8969" width="10.125" style="3" customWidth="1"/>
    <col min="8970" max="8970" width="29.375" style="3" customWidth="1"/>
    <col min="8971" max="8979" width="0" style="3" hidden="1" customWidth="1"/>
    <col min="8980" max="8980" width="14.75" style="3" customWidth="1"/>
    <col min="8981" max="8981" width="11" style="3" customWidth="1"/>
    <col min="8982" max="8982" width="11.125" style="3" customWidth="1"/>
    <col min="8983" max="8983" width="9.75" style="3" customWidth="1"/>
    <col min="8984" max="8984" width="10.375" style="3" customWidth="1"/>
    <col min="8985" max="8986" width="9.625" style="3" customWidth="1"/>
    <col min="8987" max="8987" width="10.875" style="3" customWidth="1"/>
    <col min="8988" max="8988" width="9.375" style="3" customWidth="1"/>
    <col min="8989" max="8989" width="10.25" style="3" customWidth="1"/>
    <col min="8990" max="8990" width="9.75" style="3" customWidth="1"/>
    <col min="8991" max="8991" width="9.25" style="3" customWidth="1"/>
    <col min="8992" max="9223" width="9" style="3"/>
    <col min="9224" max="9224" width="6.25" style="3" customWidth="1"/>
    <col min="9225" max="9225" width="10.125" style="3" customWidth="1"/>
    <col min="9226" max="9226" width="29.375" style="3" customWidth="1"/>
    <col min="9227" max="9235" width="0" style="3" hidden="1" customWidth="1"/>
    <col min="9236" max="9236" width="14.75" style="3" customWidth="1"/>
    <col min="9237" max="9237" width="11" style="3" customWidth="1"/>
    <col min="9238" max="9238" width="11.125" style="3" customWidth="1"/>
    <col min="9239" max="9239" width="9.75" style="3" customWidth="1"/>
    <col min="9240" max="9240" width="10.375" style="3" customWidth="1"/>
    <col min="9241" max="9242" width="9.625" style="3" customWidth="1"/>
    <col min="9243" max="9243" width="10.875" style="3" customWidth="1"/>
    <col min="9244" max="9244" width="9.375" style="3" customWidth="1"/>
    <col min="9245" max="9245" width="10.25" style="3" customWidth="1"/>
    <col min="9246" max="9246" width="9.75" style="3" customWidth="1"/>
    <col min="9247" max="9247" width="9.25" style="3" customWidth="1"/>
    <col min="9248" max="9479" width="9" style="3"/>
    <col min="9480" max="9480" width="6.25" style="3" customWidth="1"/>
    <col min="9481" max="9481" width="10.125" style="3" customWidth="1"/>
    <col min="9482" max="9482" width="29.375" style="3" customWidth="1"/>
    <col min="9483" max="9491" width="0" style="3" hidden="1" customWidth="1"/>
    <col min="9492" max="9492" width="14.75" style="3" customWidth="1"/>
    <col min="9493" max="9493" width="11" style="3" customWidth="1"/>
    <col min="9494" max="9494" width="11.125" style="3" customWidth="1"/>
    <col min="9495" max="9495" width="9.75" style="3" customWidth="1"/>
    <col min="9496" max="9496" width="10.375" style="3" customWidth="1"/>
    <col min="9497" max="9498" width="9.625" style="3" customWidth="1"/>
    <col min="9499" max="9499" width="10.875" style="3" customWidth="1"/>
    <col min="9500" max="9500" width="9.375" style="3" customWidth="1"/>
    <col min="9501" max="9501" width="10.25" style="3" customWidth="1"/>
    <col min="9502" max="9502" width="9.75" style="3" customWidth="1"/>
    <col min="9503" max="9503" width="9.25" style="3" customWidth="1"/>
    <col min="9504" max="9735" width="9" style="3"/>
    <col min="9736" max="9736" width="6.25" style="3" customWidth="1"/>
    <col min="9737" max="9737" width="10.125" style="3" customWidth="1"/>
    <col min="9738" max="9738" width="29.375" style="3" customWidth="1"/>
    <col min="9739" max="9747" width="0" style="3" hidden="1" customWidth="1"/>
    <col min="9748" max="9748" width="14.75" style="3" customWidth="1"/>
    <col min="9749" max="9749" width="11" style="3" customWidth="1"/>
    <col min="9750" max="9750" width="11.125" style="3" customWidth="1"/>
    <col min="9751" max="9751" width="9.75" style="3" customWidth="1"/>
    <col min="9752" max="9752" width="10.375" style="3" customWidth="1"/>
    <col min="9753" max="9754" width="9.625" style="3" customWidth="1"/>
    <col min="9755" max="9755" width="10.875" style="3" customWidth="1"/>
    <col min="9756" max="9756" width="9.375" style="3" customWidth="1"/>
    <col min="9757" max="9757" width="10.25" style="3" customWidth="1"/>
    <col min="9758" max="9758" width="9.75" style="3" customWidth="1"/>
    <col min="9759" max="9759" width="9.25" style="3" customWidth="1"/>
    <col min="9760" max="9991" width="9" style="3"/>
    <col min="9992" max="9992" width="6.25" style="3" customWidth="1"/>
    <col min="9993" max="9993" width="10.125" style="3" customWidth="1"/>
    <col min="9994" max="9994" width="29.375" style="3" customWidth="1"/>
    <col min="9995" max="10003" width="0" style="3" hidden="1" customWidth="1"/>
    <col min="10004" max="10004" width="14.75" style="3" customWidth="1"/>
    <col min="10005" max="10005" width="11" style="3" customWidth="1"/>
    <col min="10006" max="10006" width="11.125" style="3" customWidth="1"/>
    <col min="10007" max="10007" width="9.75" style="3" customWidth="1"/>
    <col min="10008" max="10008" width="10.375" style="3" customWidth="1"/>
    <col min="10009" max="10010" width="9.625" style="3" customWidth="1"/>
    <col min="10011" max="10011" width="10.875" style="3" customWidth="1"/>
    <col min="10012" max="10012" width="9.375" style="3" customWidth="1"/>
    <col min="10013" max="10013" width="10.25" style="3" customWidth="1"/>
    <col min="10014" max="10014" width="9.75" style="3" customWidth="1"/>
    <col min="10015" max="10015" width="9.25" style="3" customWidth="1"/>
    <col min="10016" max="10247" width="9" style="3"/>
    <col min="10248" max="10248" width="6.25" style="3" customWidth="1"/>
    <col min="10249" max="10249" width="10.125" style="3" customWidth="1"/>
    <col min="10250" max="10250" width="29.375" style="3" customWidth="1"/>
    <col min="10251" max="10259" width="0" style="3" hidden="1" customWidth="1"/>
    <col min="10260" max="10260" width="14.75" style="3" customWidth="1"/>
    <col min="10261" max="10261" width="11" style="3" customWidth="1"/>
    <col min="10262" max="10262" width="11.125" style="3" customWidth="1"/>
    <col min="10263" max="10263" width="9.75" style="3" customWidth="1"/>
    <col min="10264" max="10264" width="10.375" style="3" customWidth="1"/>
    <col min="10265" max="10266" width="9.625" style="3" customWidth="1"/>
    <col min="10267" max="10267" width="10.875" style="3" customWidth="1"/>
    <col min="10268" max="10268" width="9.375" style="3" customWidth="1"/>
    <col min="10269" max="10269" width="10.25" style="3" customWidth="1"/>
    <col min="10270" max="10270" width="9.75" style="3" customWidth="1"/>
    <col min="10271" max="10271" width="9.25" style="3" customWidth="1"/>
    <col min="10272" max="10503" width="9" style="3"/>
    <col min="10504" max="10504" width="6.25" style="3" customWidth="1"/>
    <col min="10505" max="10505" width="10.125" style="3" customWidth="1"/>
    <col min="10506" max="10506" width="29.375" style="3" customWidth="1"/>
    <col min="10507" max="10515" width="0" style="3" hidden="1" customWidth="1"/>
    <col min="10516" max="10516" width="14.75" style="3" customWidth="1"/>
    <col min="10517" max="10517" width="11" style="3" customWidth="1"/>
    <col min="10518" max="10518" width="11.125" style="3" customWidth="1"/>
    <col min="10519" max="10519" width="9.75" style="3" customWidth="1"/>
    <col min="10520" max="10520" width="10.375" style="3" customWidth="1"/>
    <col min="10521" max="10522" width="9.625" style="3" customWidth="1"/>
    <col min="10523" max="10523" width="10.875" style="3" customWidth="1"/>
    <col min="10524" max="10524" width="9.375" style="3" customWidth="1"/>
    <col min="10525" max="10525" width="10.25" style="3" customWidth="1"/>
    <col min="10526" max="10526" width="9.75" style="3" customWidth="1"/>
    <col min="10527" max="10527" width="9.25" style="3" customWidth="1"/>
    <col min="10528" max="10759" width="9" style="3"/>
    <col min="10760" max="10760" width="6.25" style="3" customWidth="1"/>
    <col min="10761" max="10761" width="10.125" style="3" customWidth="1"/>
    <col min="10762" max="10762" width="29.375" style="3" customWidth="1"/>
    <col min="10763" max="10771" width="0" style="3" hidden="1" customWidth="1"/>
    <col min="10772" max="10772" width="14.75" style="3" customWidth="1"/>
    <col min="10773" max="10773" width="11" style="3" customWidth="1"/>
    <col min="10774" max="10774" width="11.125" style="3" customWidth="1"/>
    <col min="10775" max="10775" width="9.75" style="3" customWidth="1"/>
    <col min="10776" max="10776" width="10.375" style="3" customWidth="1"/>
    <col min="10777" max="10778" width="9.625" style="3" customWidth="1"/>
    <col min="10779" max="10779" width="10.875" style="3" customWidth="1"/>
    <col min="10780" max="10780" width="9.375" style="3" customWidth="1"/>
    <col min="10781" max="10781" width="10.25" style="3" customWidth="1"/>
    <col min="10782" max="10782" width="9.75" style="3" customWidth="1"/>
    <col min="10783" max="10783" width="9.25" style="3" customWidth="1"/>
    <col min="10784" max="11015" width="9" style="3"/>
    <col min="11016" max="11016" width="6.25" style="3" customWidth="1"/>
    <col min="11017" max="11017" width="10.125" style="3" customWidth="1"/>
    <col min="11018" max="11018" width="29.375" style="3" customWidth="1"/>
    <col min="11019" max="11027" width="0" style="3" hidden="1" customWidth="1"/>
    <col min="11028" max="11028" width="14.75" style="3" customWidth="1"/>
    <col min="11029" max="11029" width="11" style="3" customWidth="1"/>
    <col min="11030" max="11030" width="11.125" style="3" customWidth="1"/>
    <col min="11031" max="11031" width="9.75" style="3" customWidth="1"/>
    <col min="11032" max="11032" width="10.375" style="3" customWidth="1"/>
    <col min="11033" max="11034" width="9.625" style="3" customWidth="1"/>
    <col min="11035" max="11035" width="10.875" style="3" customWidth="1"/>
    <col min="11036" max="11036" width="9.375" style="3" customWidth="1"/>
    <col min="11037" max="11037" width="10.25" style="3" customWidth="1"/>
    <col min="11038" max="11038" width="9.75" style="3" customWidth="1"/>
    <col min="11039" max="11039" width="9.25" style="3" customWidth="1"/>
    <col min="11040" max="11271" width="9" style="3"/>
    <col min="11272" max="11272" width="6.25" style="3" customWidth="1"/>
    <col min="11273" max="11273" width="10.125" style="3" customWidth="1"/>
    <col min="11274" max="11274" width="29.375" style="3" customWidth="1"/>
    <col min="11275" max="11283" width="0" style="3" hidden="1" customWidth="1"/>
    <col min="11284" max="11284" width="14.75" style="3" customWidth="1"/>
    <col min="11285" max="11285" width="11" style="3" customWidth="1"/>
    <col min="11286" max="11286" width="11.125" style="3" customWidth="1"/>
    <col min="11287" max="11287" width="9.75" style="3" customWidth="1"/>
    <col min="11288" max="11288" width="10.375" style="3" customWidth="1"/>
    <col min="11289" max="11290" width="9.625" style="3" customWidth="1"/>
    <col min="11291" max="11291" width="10.875" style="3" customWidth="1"/>
    <col min="11292" max="11292" width="9.375" style="3" customWidth="1"/>
    <col min="11293" max="11293" width="10.25" style="3" customWidth="1"/>
    <col min="11294" max="11294" width="9.75" style="3" customWidth="1"/>
    <col min="11295" max="11295" width="9.25" style="3" customWidth="1"/>
    <col min="11296" max="11527" width="9" style="3"/>
    <col min="11528" max="11528" width="6.25" style="3" customWidth="1"/>
    <col min="11529" max="11529" width="10.125" style="3" customWidth="1"/>
    <col min="11530" max="11530" width="29.375" style="3" customWidth="1"/>
    <col min="11531" max="11539" width="0" style="3" hidden="1" customWidth="1"/>
    <col min="11540" max="11540" width="14.75" style="3" customWidth="1"/>
    <col min="11541" max="11541" width="11" style="3" customWidth="1"/>
    <col min="11542" max="11542" width="11.125" style="3" customWidth="1"/>
    <col min="11543" max="11543" width="9.75" style="3" customWidth="1"/>
    <col min="11544" max="11544" width="10.375" style="3" customWidth="1"/>
    <col min="11545" max="11546" width="9.625" style="3" customWidth="1"/>
    <col min="11547" max="11547" width="10.875" style="3" customWidth="1"/>
    <col min="11548" max="11548" width="9.375" style="3" customWidth="1"/>
    <col min="11549" max="11549" width="10.25" style="3" customWidth="1"/>
    <col min="11550" max="11550" width="9.75" style="3" customWidth="1"/>
    <col min="11551" max="11551" width="9.25" style="3" customWidth="1"/>
    <col min="11552" max="11783" width="9" style="3"/>
    <col min="11784" max="11784" width="6.25" style="3" customWidth="1"/>
    <col min="11785" max="11785" width="10.125" style="3" customWidth="1"/>
    <col min="11786" max="11786" width="29.375" style="3" customWidth="1"/>
    <col min="11787" max="11795" width="0" style="3" hidden="1" customWidth="1"/>
    <col min="11796" max="11796" width="14.75" style="3" customWidth="1"/>
    <col min="11797" max="11797" width="11" style="3" customWidth="1"/>
    <col min="11798" max="11798" width="11.125" style="3" customWidth="1"/>
    <col min="11799" max="11799" width="9.75" style="3" customWidth="1"/>
    <col min="11800" max="11800" width="10.375" style="3" customWidth="1"/>
    <col min="11801" max="11802" width="9.625" style="3" customWidth="1"/>
    <col min="11803" max="11803" width="10.875" style="3" customWidth="1"/>
    <col min="11804" max="11804" width="9.375" style="3" customWidth="1"/>
    <col min="11805" max="11805" width="10.25" style="3" customWidth="1"/>
    <col min="11806" max="11806" width="9.75" style="3" customWidth="1"/>
    <col min="11807" max="11807" width="9.25" style="3" customWidth="1"/>
    <col min="11808" max="12039" width="9" style="3"/>
    <col min="12040" max="12040" width="6.25" style="3" customWidth="1"/>
    <col min="12041" max="12041" width="10.125" style="3" customWidth="1"/>
    <col min="12042" max="12042" width="29.375" style="3" customWidth="1"/>
    <col min="12043" max="12051" width="0" style="3" hidden="1" customWidth="1"/>
    <col min="12052" max="12052" width="14.75" style="3" customWidth="1"/>
    <col min="12053" max="12053" width="11" style="3" customWidth="1"/>
    <col min="12054" max="12054" width="11.125" style="3" customWidth="1"/>
    <col min="12055" max="12055" width="9.75" style="3" customWidth="1"/>
    <col min="12056" max="12056" width="10.375" style="3" customWidth="1"/>
    <col min="12057" max="12058" width="9.625" style="3" customWidth="1"/>
    <col min="12059" max="12059" width="10.875" style="3" customWidth="1"/>
    <col min="12060" max="12060" width="9.375" style="3" customWidth="1"/>
    <col min="12061" max="12061" width="10.25" style="3" customWidth="1"/>
    <col min="12062" max="12062" width="9.75" style="3" customWidth="1"/>
    <col min="12063" max="12063" width="9.25" style="3" customWidth="1"/>
    <col min="12064" max="12295" width="9" style="3"/>
    <col min="12296" max="12296" width="6.25" style="3" customWidth="1"/>
    <col min="12297" max="12297" width="10.125" style="3" customWidth="1"/>
    <col min="12298" max="12298" width="29.375" style="3" customWidth="1"/>
    <col min="12299" max="12307" width="0" style="3" hidden="1" customWidth="1"/>
    <col min="12308" max="12308" width="14.75" style="3" customWidth="1"/>
    <col min="12309" max="12309" width="11" style="3" customWidth="1"/>
    <col min="12310" max="12310" width="11.125" style="3" customWidth="1"/>
    <col min="12311" max="12311" width="9.75" style="3" customWidth="1"/>
    <col min="12312" max="12312" width="10.375" style="3" customWidth="1"/>
    <col min="12313" max="12314" width="9.625" style="3" customWidth="1"/>
    <col min="12315" max="12315" width="10.875" style="3" customWidth="1"/>
    <col min="12316" max="12316" width="9.375" style="3" customWidth="1"/>
    <col min="12317" max="12317" width="10.25" style="3" customWidth="1"/>
    <col min="12318" max="12318" width="9.75" style="3" customWidth="1"/>
    <col min="12319" max="12319" width="9.25" style="3" customWidth="1"/>
    <col min="12320" max="12551" width="9" style="3"/>
    <col min="12552" max="12552" width="6.25" style="3" customWidth="1"/>
    <col min="12553" max="12553" width="10.125" style="3" customWidth="1"/>
    <col min="12554" max="12554" width="29.375" style="3" customWidth="1"/>
    <col min="12555" max="12563" width="0" style="3" hidden="1" customWidth="1"/>
    <col min="12564" max="12564" width="14.75" style="3" customWidth="1"/>
    <col min="12565" max="12565" width="11" style="3" customWidth="1"/>
    <col min="12566" max="12566" width="11.125" style="3" customWidth="1"/>
    <col min="12567" max="12567" width="9.75" style="3" customWidth="1"/>
    <col min="12568" max="12568" width="10.375" style="3" customWidth="1"/>
    <col min="12569" max="12570" width="9.625" style="3" customWidth="1"/>
    <col min="12571" max="12571" width="10.875" style="3" customWidth="1"/>
    <col min="12572" max="12572" width="9.375" style="3" customWidth="1"/>
    <col min="12573" max="12573" width="10.25" style="3" customWidth="1"/>
    <col min="12574" max="12574" width="9.75" style="3" customWidth="1"/>
    <col min="12575" max="12575" width="9.25" style="3" customWidth="1"/>
    <col min="12576" max="12807" width="9" style="3"/>
    <col min="12808" max="12808" width="6.25" style="3" customWidth="1"/>
    <col min="12809" max="12809" width="10.125" style="3" customWidth="1"/>
    <col min="12810" max="12810" width="29.375" style="3" customWidth="1"/>
    <col min="12811" max="12819" width="0" style="3" hidden="1" customWidth="1"/>
    <col min="12820" max="12820" width="14.75" style="3" customWidth="1"/>
    <col min="12821" max="12821" width="11" style="3" customWidth="1"/>
    <col min="12822" max="12822" width="11.125" style="3" customWidth="1"/>
    <col min="12823" max="12823" width="9.75" style="3" customWidth="1"/>
    <col min="12824" max="12824" width="10.375" style="3" customWidth="1"/>
    <col min="12825" max="12826" width="9.625" style="3" customWidth="1"/>
    <col min="12827" max="12827" width="10.875" style="3" customWidth="1"/>
    <col min="12828" max="12828" width="9.375" style="3" customWidth="1"/>
    <col min="12829" max="12829" width="10.25" style="3" customWidth="1"/>
    <col min="12830" max="12830" width="9.75" style="3" customWidth="1"/>
    <col min="12831" max="12831" width="9.25" style="3" customWidth="1"/>
    <col min="12832" max="13063" width="9" style="3"/>
    <col min="13064" max="13064" width="6.25" style="3" customWidth="1"/>
    <col min="13065" max="13065" width="10.125" style="3" customWidth="1"/>
    <col min="13066" max="13066" width="29.375" style="3" customWidth="1"/>
    <col min="13067" max="13075" width="0" style="3" hidden="1" customWidth="1"/>
    <col min="13076" max="13076" width="14.75" style="3" customWidth="1"/>
    <col min="13077" max="13077" width="11" style="3" customWidth="1"/>
    <col min="13078" max="13078" width="11.125" style="3" customWidth="1"/>
    <col min="13079" max="13079" width="9.75" style="3" customWidth="1"/>
    <col min="13080" max="13080" width="10.375" style="3" customWidth="1"/>
    <col min="13081" max="13082" width="9.625" style="3" customWidth="1"/>
    <col min="13083" max="13083" width="10.875" style="3" customWidth="1"/>
    <col min="13084" max="13084" width="9.375" style="3" customWidth="1"/>
    <col min="13085" max="13085" width="10.25" style="3" customWidth="1"/>
    <col min="13086" max="13086" width="9.75" style="3" customWidth="1"/>
    <col min="13087" max="13087" width="9.25" style="3" customWidth="1"/>
    <col min="13088" max="13319" width="9" style="3"/>
    <col min="13320" max="13320" width="6.25" style="3" customWidth="1"/>
    <col min="13321" max="13321" width="10.125" style="3" customWidth="1"/>
    <col min="13322" max="13322" width="29.375" style="3" customWidth="1"/>
    <col min="13323" max="13331" width="0" style="3" hidden="1" customWidth="1"/>
    <col min="13332" max="13332" width="14.75" style="3" customWidth="1"/>
    <col min="13333" max="13333" width="11" style="3" customWidth="1"/>
    <col min="13334" max="13334" width="11.125" style="3" customWidth="1"/>
    <col min="13335" max="13335" width="9.75" style="3" customWidth="1"/>
    <col min="13336" max="13336" width="10.375" style="3" customWidth="1"/>
    <col min="13337" max="13338" width="9.625" style="3" customWidth="1"/>
    <col min="13339" max="13339" width="10.875" style="3" customWidth="1"/>
    <col min="13340" max="13340" width="9.375" style="3" customWidth="1"/>
    <col min="13341" max="13341" width="10.25" style="3" customWidth="1"/>
    <col min="13342" max="13342" width="9.75" style="3" customWidth="1"/>
    <col min="13343" max="13343" width="9.25" style="3" customWidth="1"/>
    <col min="13344" max="13575" width="9" style="3"/>
    <col min="13576" max="13576" width="6.25" style="3" customWidth="1"/>
    <col min="13577" max="13577" width="10.125" style="3" customWidth="1"/>
    <col min="13578" max="13578" width="29.375" style="3" customWidth="1"/>
    <col min="13579" max="13587" width="0" style="3" hidden="1" customWidth="1"/>
    <col min="13588" max="13588" width="14.75" style="3" customWidth="1"/>
    <col min="13589" max="13589" width="11" style="3" customWidth="1"/>
    <col min="13590" max="13590" width="11.125" style="3" customWidth="1"/>
    <col min="13591" max="13591" width="9.75" style="3" customWidth="1"/>
    <col min="13592" max="13592" width="10.375" style="3" customWidth="1"/>
    <col min="13593" max="13594" width="9.625" style="3" customWidth="1"/>
    <col min="13595" max="13595" width="10.875" style="3" customWidth="1"/>
    <col min="13596" max="13596" width="9.375" style="3" customWidth="1"/>
    <col min="13597" max="13597" width="10.25" style="3" customWidth="1"/>
    <col min="13598" max="13598" width="9.75" style="3" customWidth="1"/>
    <col min="13599" max="13599" width="9.25" style="3" customWidth="1"/>
    <col min="13600" max="13831" width="9" style="3"/>
    <col min="13832" max="13832" width="6.25" style="3" customWidth="1"/>
    <col min="13833" max="13833" width="10.125" style="3" customWidth="1"/>
    <col min="13834" max="13834" width="29.375" style="3" customWidth="1"/>
    <col min="13835" max="13843" width="0" style="3" hidden="1" customWidth="1"/>
    <col min="13844" max="13844" width="14.75" style="3" customWidth="1"/>
    <col min="13845" max="13845" width="11" style="3" customWidth="1"/>
    <col min="13846" max="13846" width="11.125" style="3" customWidth="1"/>
    <col min="13847" max="13847" width="9.75" style="3" customWidth="1"/>
    <col min="13848" max="13848" width="10.375" style="3" customWidth="1"/>
    <col min="13849" max="13850" width="9.625" style="3" customWidth="1"/>
    <col min="13851" max="13851" width="10.875" style="3" customWidth="1"/>
    <col min="13852" max="13852" width="9.375" style="3" customWidth="1"/>
    <col min="13853" max="13853" width="10.25" style="3" customWidth="1"/>
    <col min="13854" max="13854" width="9.75" style="3" customWidth="1"/>
    <col min="13855" max="13855" width="9.25" style="3" customWidth="1"/>
    <col min="13856" max="14087" width="9" style="3"/>
    <col min="14088" max="14088" width="6.25" style="3" customWidth="1"/>
    <col min="14089" max="14089" width="10.125" style="3" customWidth="1"/>
    <col min="14090" max="14090" width="29.375" style="3" customWidth="1"/>
    <col min="14091" max="14099" width="0" style="3" hidden="1" customWidth="1"/>
    <col min="14100" max="14100" width="14.75" style="3" customWidth="1"/>
    <col min="14101" max="14101" width="11" style="3" customWidth="1"/>
    <col min="14102" max="14102" width="11.125" style="3" customWidth="1"/>
    <col min="14103" max="14103" width="9.75" style="3" customWidth="1"/>
    <col min="14104" max="14104" width="10.375" style="3" customWidth="1"/>
    <col min="14105" max="14106" width="9.625" style="3" customWidth="1"/>
    <col min="14107" max="14107" width="10.875" style="3" customWidth="1"/>
    <col min="14108" max="14108" width="9.375" style="3" customWidth="1"/>
    <col min="14109" max="14109" width="10.25" style="3" customWidth="1"/>
    <col min="14110" max="14110" width="9.75" style="3" customWidth="1"/>
    <col min="14111" max="14111" width="9.25" style="3" customWidth="1"/>
    <col min="14112" max="14343" width="9" style="3"/>
    <col min="14344" max="14344" width="6.25" style="3" customWidth="1"/>
    <col min="14345" max="14345" width="10.125" style="3" customWidth="1"/>
    <col min="14346" max="14346" width="29.375" style="3" customWidth="1"/>
    <col min="14347" max="14355" width="0" style="3" hidden="1" customWidth="1"/>
    <col min="14356" max="14356" width="14.75" style="3" customWidth="1"/>
    <col min="14357" max="14357" width="11" style="3" customWidth="1"/>
    <col min="14358" max="14358" width="11.125" style="3" customWidth="1"/>
    <col min="14359" max="14359" width="9.75" style="3" customWidth="1"/>
    <col min="14360" max="14360" width="10.375" style="3" customWidth="1"/>
    <col min="14361" max="14362" width="9.625" style="3" customWidth="1"/>
    <col min="14363" max="14363" width="10.875" style="3" customWidth="1"/>
    <col min="14364" max="14364" width="9.375" style="3" customWidth="1"/>
    <col min="14365" max="14365" width="10.25" style="3" customWidth="1"/>
    <col min="14366" max="14366" width="9.75" style="3" customWidth="1"/>
    <col min="14367" max="14367" width="9.25" style="3" customWidth="1"/>
    <col min="14368" max="14599" width="9" style="3"/>
    <col min="14600" max="14600" width="6.25" style="3" customWidth="1"/>
    <col min="14601" max="14601" width="10.125" style="3" customWidth="1"/>
    <col min="14602" max="14602" width="29.375" style="3" customWidth="1"/>
    <col min="14603" max="14611" width="0" style="3" hidden="1" customWidth="1"/>
    <col min="14612" max="14612" width="14.75" style="3" customWidth="1"/>
    <col min="14613" max="14613" width="11" style="3" customWidth="1"/>
    <col min="14614" max="14614" width="11.125" style="3" customWidth="1"/>
    <col min="14615" max="14615" width="9.75" style="3" customWidth="1"/>
    <col min="14616" max="14616" width="10.375" style="3" customWidth="1"/>
    <col min="14617" max="14618" width="9.625" style="3" customWidth="1"/>
    <col min="14619" max="14619" width="10.875" style="3" customWidth="1"/>
    <col min="14620" max="14620" width="9.375" style="3" customWidth="1"/>
    <col min="14621" max="14621" width="10.25" style="3" customWidth="1"/>
    <col min="14622" max="14622" width="9.75" style="3" customWidth="1"/>
    <col min="14623" max="14623" width="9.25" style="3" customWidth="1"/>
    <col min="14624" max="14855" width="9" style="3"/>
    <col min="14856" max="14856" width="6.25" style="3" customWidth="1"/>
    <col min="14857" max="14857" width="10.125" style="3" customWidth="1"/>
    <col min="14858" max="14858" width="29.375" style="3" customWidth="1"/>
    <col min="14859" max="14867" width="0" style="3" hidden="1" customWidth="1"/>
    <col min="14868" max="14868" width="14.75" style="3" customWidth="1"/>
    <col min="14869" max="14869" width="11" style="3" customWidth="1"/>
    <col min="14870" max="14870" width="11.125" style="3" customWidth="1"/>
    <col min="14871" max="14871" width="9.75" style="3" customWidth="1"/>
    <col min="14872" max="14872" width="10.375" style="3" customWidth="1"/>
    <col min="14873" max="14874" width="9.625" style="3" customWidth="1"/>
    <col min="14875" max="14875" width="10.875" style="3" customWidth="1"/>
    <col min="14876" max="14876" width="9.375" style="3" customWidth="1"/>
    <col min="14877" max="14877" width="10.25" style="3" customWidth="1"/>
    <col min="14878" max="14878" width="9.75" style="3" customWidth="1"/>
    <col min="14879" max="14879" width="9.25" style="3" customWidth="1"/>
    <col min="14880" max="15111" width="9" style="3"/>
    <col min="15112" max="15112" width="6.25" style="3" customWidth="1"/>
    <col min="15113" max="15113" width="10.125" style="3" customWidth="1"/>
    <col min="15114" max="15114" width="29.375" style="3" customWidth="1"/>
    <col min="15115" max="15123" width="0" style="3" hidden="1" customWidth="1"/>
    <col min="15124" max="15124" width="14.75" style="3" customWidth="1"/>
    <col min="15125" max="15125" width="11" style="3" customWidth="1"/>
    <col min="15126" max="15126" width="11.125" style="3" customWidth="1"/>
    <col min="15127" max="15127" width="9.75" style="3" customWidth="1"/>
    <col min="15128" max="15128" width="10.375" style="3" customWidth="1"/>
    <col min="15129" max="15130" width="9.625" style="3" customWidth="1"/>
    <col min="15131" max="15131" width="10.875" style="3" customWidth="1"/>
    <col min="15132" max="15132" width="9.375" style="3" customWidth="1"/>
    <col min="15133" max="15133" width="10.25" style="3" customWidth="1"/>
    <col min="15134" max="15134" width="9.75" style="3" customWidth="1"/>
    <col min="15135" max="15135" width="9.25" style="3" customWidth="1"/>
    <col min="15136" max="15367" width="9" style="3"/>
    <col min="15368" max="15368" width="6.25" style="3" customWidth="1"/>
    <col min="15369" max="15369" width="10.125" style="3" customWidth="1"/>
    <col min="15370" max="15370" width="29.375" style="3" customWidth="1"/>
    <col min="15371" max="15379" width="0" style="3" hidden="1" customWidth="1"/>
    <col min="15380" max="15380" width="14.75" style="3" customWidth="1"/>
    <col min="15381" max="15381" width="11" style="3" customWidth="1"/>
    <col min="15382" max="15382" width="11.125" style="3" customWidth="1"/>
    <col min="15383" max="15383" width="9.75" style="3" customWidth="1"/>
    <col min="15384" max="15384" width="10.375" style="3" customWidth="1"/>
    <col min="15385" max="15386" width="9.625" style="3" customWidth="1"/>
    <col min="15387" max="15387" width="10.875" style="3" customWidth="1"/>
    <col min="15388" max="15388" width="9.375" style="3" customWidth="1"/>
    <col min="15389" max="15389" width="10.25" style="3" customWidth="1"/>
    <col min="15390" max="15390" width="9.75" style="3" customWidth="1"/>
    <col min="15391" max="15391" width="9.25" style="3" customWidth="1"/>
    <col min="15392" max="15623" width="9" style="3"/>
    <col min="15624" max="15624" width="6.25" style="3" customWidth="1"/>
    <col min="15625" max="15625" width="10.125" style="3" customWidth="1"/>
    <col min="15626" max="15626" width="29.375" style="3" customWidth="1"/>
    <col min="15627" max="15635" width="0" style="3" hidden="1" customWidth="1"/>
    <col min="15636" max="15636" width="14.75" style="3" customWidth="1"/>
    <col min="15637" max="15637" width="11" style="3" customWidth="1"/>
    <col min="15638" max="15638" width="11.125" style="3" customWidth="1"/>
    <col min="15639" max="15639" width="9.75" style="3" customWidth="1"/>
    <col min="15640" max="15640" width="10.375" style="3" customWidth="1"/>
    <col min="15641" max="15642" width="9.625" style="3" customWidth="1"/>
    <col min="15643" max="15643" width="10.875" style="3" customWidth="1"/>
    <col min="15644" max="15644" width="9.375" style="3" customWidth="1"/>
    <col min="15645" max="15645" width="10.25" style="3" customWidth="1"/>
    <col min="15646" max="15646" width="9.75" style="3" customWidth="1"/>
    <col min="15647" max="15647" width="9.25" style="3" customWidth="1"/>
    <col min="15648" max="15879" width="9" style="3"/>
    <col min="15880" max="15880" width="6.25" style="3" customWidth="1"/>
    <col min="15881" max="15881" width="10.125" style="3" customWidth="1"/>
    <col min="15882" max="15882" width="29.375" style="3" customWidth="1"/>
    <col min="15883" max="15891" width="0" style="3" hidden="1" customWidth="1"/>
    <col min="15892" max="15892" width="14.75" style="3" customWidth="1"/>
    <col min="15893" max="15893" width="11" style="3" customWidth="1"/>
    <col min="15894" max="15894" width="11.125" style="3" customWidth="1"/>
    <col min="15895" max="15895" width="9.75" style="3" customWidth="1"/>
    <col min="15896" max="15896" width="10.375" style="3" customWidth="1"/>
    <col min="15897" max="15898" width="9.625" style="3" customWidth="1"/>
    <col min="15899" max="15899" width="10.875" style="3" customWidth="1"/>
    <col min="15900" max="15900" width="9.375" style="3" customWidth="1"/>
    <col min="15901" max="15901" width="10.25" style="3" customWidth="1"/>
    <col min="15902" max="15902" width="9.75" style="3" customWidth="1"/>
    <col min="15903" max="15903" width="9.25" style="3" customWidth="1"/>
    <col min="15904" max="16135" width="9" style="3"/>
    <col min="16136" max="16136" width="6.25" style="3" customWidth="1"/>
    <col min="16137" max="16137" width="10.125" style="3" customWidth="1"/>
    <col min="16138" max="16138" width="29.375" style="3" customWidth="1"/>
    <col min="16139" max="16147" width="0" style="3" hidden="1" customWidth="1"/>
    <col min="16148" max="16148" width="14.75" style="3" customWidth="1"/>
    <col min="16149" max="16149" width="11" style="3" customWidth="1"/>
    <col min="16150" max="16150" width="11.125" style="3" customWidth="1"/>
    <col min="16151" max="16151" width="9.75" style="3" customWidth="1"/>
    <col min="16152" max="16152" width="10.375" style="3" customWidth="1"/>
    <col min="16153" max="16154" width="9.625" style="3" customWidth="1"/>
    <col min="16155" max="16155" width="10.875" style="3" customWidth="1"/>
    <col min="16156" max="16156" width="9.375" style="3" customWidth="1"/>
    <col min="16157" max="16157" width="10.25" style="3" customWidth="1"/>
    <col min="16158" max="16158" width="9.75" style="3" customWidth="1"/>
    <col min="16159" max="16159" width="9.25" style="3" customWidth="1"/>
    <col min="16160" max="16384" width="9" style="3"/>
  </cols>
  <sheetData>
    <row r="1" spans="1:31" ht="26.25">
      <c r="A1" s="1" t="s">
        <v>1045</v>
      </c>
      <c r="B1" s="2"/>
      <c r="E1" s="647"/>
      <c r="F1" s="647"/>
      <c r="G1" s="647"/>
      <c r="H1" s="647"/>
      <c r="I1" s="647"/>
      <c r="J1" s="4"/>
      <c r="K1" s="4"/>
      <c r="L1" s="6"/>
      <c r="T1" s="6"/>
      <c r="U1" s="6"/>
      <c r="V1" s="4"/>
      <c r="W1" s="4"/>
      <c r="X1" s="4"/>
      <c r="Y1" s="4"/>
      <c r="Z1" s="4"/>
      <c r="AA1" s="4"/>
      <c r="AB1" s="4"/>
      <c r="AC1" s="1369" t="s">
        <v>1</v>
      </c>
      <c r="AD1" s="1369"/>
      <c r="AE1" s="1369"/>
    </row>
    <row r="2" spans="1:31" ht="26.25">
      <c r="A2" s="7" t="s">
        <v>2</v>
      </c>
      <c r="B2" s="8"/>
      <c r="E2" s="648"/>
      <c r="F2" s="648"/>
      <c r="G2" s="648"/>
      <c r="H2" s="648"/>
      <c r="I2" s="648"/>
      <c r="J2" s="9"/>
      <c r="K2" s="9"/>
      <c r="L2" s="9"/>
      <c r="M2" s="9"/>
      <c r="N2" s="9"/>
      <c r="O2" s="9"/>
      <c r="P2" s="9"/>
      <c r="Q2" s="77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1" customHeight="1">
      <c r="A3" s="1370" t="s">
        <v>3</v>
      </c>
      <c r="B3" s="584"/>
      <c r="C3" s="1353" t="s">
        <v>4</v>
      </c>
      <c r="D3" s="1373" t="s">
        <v>5</v>
      </c>
      <c r="E3" s="1373" t="s">
        <v>6</v>
      </c>
      <c r="F3" s="1373" t="s">
        <v>7</v>
      </c>
      <c r="G3" s="1373" t="s">
        <v>8</v>
      </c>
      <c r="H3" s="1373" t="s">
        <v>9</v>
      </c>
      <c r="I3" s="1373" t="s">
        <v>10</v>
      </c>
      <c r="J3" s="1353" t="s">
        <v>11</v>
      </c>
      <c r="K3" s="1376" t="s">
        <v>12</v>
      </c>
      <c r="L3" s="1353" t="s">
        <v>13</v>
      </c>
      <c r="M3" s="1353" t="s">
        <v>858</v>
      </c>
      <c r="N3" s="1353" t="s">
        <v>1219</v>
      </c>
      <c r="O3" s="1353" t="s">
        <v>1220</v>
      </c>
      <c r="P3" s="1353" t="s">
        <v>1221</v>
      </c>
      <c r="Q3" s="1353" t="s">
        <v>1222</v>
      </c>
      <c r="R3" s="1353" t="s">
        <v>859</v>
      </c>
      <c r="S3" s="1353" t="s">
        <v>860</v>
      </c>
      <c r="T3" s="388"/>
      <c r="U3" s="584"/>
      <c r="V3" s="1350"/>
      <c r="W3" s="1350"/>
      <c r="X3" s="1350"/>
      <c r="Y3" s="1350"/>
      <c r="Z3" s="1350"/>
      <c r="AA3" s="1350"/>
      <c r="AB3" s="1350"/>
      <c r="AC3" s="1350"/>
      <c r="AD3" s="1350"/>
      <c r="AE3" s="1351"/>
    </row>
    <row r="4" spans="1:31">
      <c r="A4" s="1371"/>
      <c r="B4" s="585"/>
      <c r="C4" s="1356"/>
      <c r="D4" s="1374"/>
      <c r="E4" s="1374"/>
      <c r="F4" s="1374"/>
      <c r="G4" s="1374"/>
      <c r="H4" s="1374"/>
      <c r="I4" s="1374"/>
      <c r="J4" s="1356"/>
      <c r="K4" s="1377"/>
      <c r="L4" s="1356"/>
      <c r="M4" s="1356"/>
      <c r="N4" s="1356"/>
      <c r="O4" s="1356"/>
      <c r="P4" s="1356"/>
      <c r="Q4" s="1356"/>
      <c r="R4" s="1356"/>
      <c r="S4" s="1356"/>
      <c r="T4" s="15" t="s">
        <v>15</v>
      </c>
      <c r="U4" s="585" t="s">
        <v>16</v>
      </c>
      <c r="V4" s="1352" t="s">
        <v>17</v>
      </c>
      <c r="W4" s="1350"/>
      <c r="X4" s="1350"/>
      <c r="Y4" s="1351"/>
      <c r="Z4" s="1353" t="s">
        <v>18</v>
      </c>
      <c r="AA4" s="1352" t="s">
        <v>19</v>
      </c>
      <c r="AB4" s="1350"/>
      <c r="AC4" s="1351"/>
      <c r="AD4" s="620"/>
      <c r="AE4" s="1353" t="s">
        <v>20</v>
      </c>
    </row>
    <row r="5" spans="1:31" ht="58.5" customHeight="1">
      <c r="A5" s="1372"/>
      <c r="B5" s="18" t="s">
        <v>21</v>
      </c>
      <c r="C5" s="1354"/>
      <c r="D5" s="1375"/>
      <c r="E5" s="1375"/>
      <c r="F5" s="1375"/>
      <c r="G5" s="1375"/>
      <c r="H5" s="1375"/>
      <c r="I5" s="1375"/>
      <c r="J5" s="1354"/>
      <c r="K5" s="1378"/>
      <c r="L5" s="1354"/>
      <c r="M5" s="1354"/>
      <c r="N5" s="1354"/>
      <c r="O5" s="1354"/>
      <c r="P5" s="1354"/>
      <c r="Q5" s="1354"/>
      <c r="R5" s="1354"/>
      <c r="S5" s="1354"/>
      <c r="T5" s="18" t="s">
        <v>22</v>
      </c>
      <c r="U5" s="18" t="s">
        <v>23</v>
      </c>
      <c r="V5" s="584" t="s">
        <v>24</v>
      </c>
      <c r="W5" s="584" t="s">
        <v>25</v>
      </c>
      <c r="X5" s="584" t="s">
        <v>26</v>
      </c>
      <c r="Y5" s="584" t="s">
        <v>27</v>
      </c>
      <c r="Z5" s="1354"/>
      <c r="AA5" s="19" t="s">
        <v>28</v>
      </c>
      <c r="AB5" s="19" t="s">
        <v>29</v>
      </c>
      <c r="AC5" s="584" t="s">
        <v>30</v>
      </c>
      <c r="AD5" s="585"/>
      <c r="AE5" s="1355"/>
    </row>
    <row r="6" spans="1:31" s="22" customFormat="1">
      <c r="A6" s="20">
        <v>1</v>
      </c>
      <c r="B6" s="20" t="s">
        <v>31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/>
      <c r="P6" s="20"/>
      <c r="Q6" s="777"/>
      <c r="R6" s="20">
        <v>14</v>
      </c>
      <c r="S6" s="20">
        <v>15</v>
      </c>
      <c r="T6" s="21"/>
      <c r="U6" s="20">
        <v>13</v>
      </c>
      <c r="V6" s="20">
        <v>14</v>
      </c>
      <c r="W6" s="20">
        <v>15</v>
      </c>
      <c r="X6" s="20">
        <v>16</v>
      </c>
      <c r="Y6" s="20">
        <v>17</v>
      </c>
      <c r="Z6" s="20">
        <v>18</v>
      </c>
      <c r="AA6" s="20">
        <v>19</v>
      </c>
      <c r="AB6" s="20">
        <v>20</v>
      </c>
      <c r="AC6" s="20">
        <v>21</v>
      </c>
      <c r="AD6" s="20"/>
      <c r="AE6" s="20">
        <v>22</v>
      </c>
    </row>
    <row r="7" spans="1:31" s="28" customFormat="1" ht="31.5">
      <c r="A7" s="335" t="s">
        <v>32</v>
      </c>
      <c r="B7" s="24"/>
      <c r="C7" s="25"/>
      <c r="D7" s="649"/>
      <c r="E7" s="649"/>
      <c r="F7" s="649"/>
      <c r="G7" s="649"/>
      <c r="H7" s="649"/>
      <c r="I7" s="649"/>
      <c r="J7" s="25"/>
      <c r="K7" s="25"/>
      <c r="L7" s="25"/>
      <c r="M7" s="25"/>
      <c r="N7" s="25"/>
      <c r="O7" s="25"/>
      <c r="P7" s="25"/>
      <c r="Q7" s="778"/>
      <c r="R7" s="25"/>
      <c r="S7" s="644"/>
      <c r="T7" s="27"/>
      <c r="U7" s="27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35" customFormat="1" ht="26.25">
      <c r="A8" s="29" t="s">
        <v>33</v>
      </c>
      <c r="B8" s="30"/>
      <c r="C8" s="31"/>
      <c r="D8" s="650"/>
      <c r="E8" s="650"/>
      <c r="F8" s="650"/>
      <c r="G8" s="650"/>
      <c r="H8" s="650"/>
      <c r="I8" s="650"/>
      <c r="J8" s="31"/>
      <c r="K8" s="31"/>
      <c r="L8" s="31"/>
      <c r="M8" s="351">
        <f>M10+M19+M34+M35</f>
        <v>22811900</v>
      </c>
      <c r="N8" s="351" t="s">
        <v>546</v>
      </c>
      <c r="O8" s="351"/>
      <c r="P8" s="351"/>
      <c r="Q8" s="779"/>
      <c r="R8" s="351"/>
      <c r="S8" s="645"/>
      <c r="T8" s="352" t="s">
        <v>546</v>
      </c>
      <c r="U8" s="497">
        <f>22811900</f>
        <v>22811900</v>
      </c>
      <c r="V8" s="498">
        <f>U8-M8</f>
        <v>0</v>
      </c>
      <c r="W8" s="31"/>
      <c r="X8" s="31"/>
      <c r="Y8" s="31"/>
      <c r="Z8" s="31"/>
      <c r="AA8" s="31"/>
      <c r="AB8" s="31"/>
      <c r="AC8" s="31"/>
      <c r="AD8" s="31"/>
      <c r="AE8" s="174"/>
    </row>
    <row r="9" spans="1:31" s="43" customFormat="1" ht="26.25">
      <c r="A9" s="36" t="s">
        <v>35</v>
      </c>
      <c r="B9" s="37"/>
      <c r="C9" s="38"/>
      <c r="D9" s="651"/>
      <c r="E9" s="651"/>
      <c r="F9" s="651"/>
      <c r="G9" s="651"/>
      <c r="H9" s="651"/>
      <c r="I9" s="651"/>
      <c r="J9" s="38"/>
      <c r="K9" s="38"/>
      <c r="L9" s="38"/>
      <c r="M9" s="643">
        <f>M10+M19+M34+M35</f>
        <v>22811900</v>
      </c>
      <c r="N9" s="643" t="s">
        <v>34</v>
      </c>
      <c r="O9" s="643">
        <f>M10+M19+M34</f>
        <v>20451900</v>
      </c>
      <c r="P9" s="643"/>
      <c r="Q9" s="780"/>
      <c r="R9" s="643"/>
      <c r="S9" s="32"/>
      <c r="T9" s="39"/>
      <c r="U9" s="40"/>
      <c r="V9" s="41" t="s">
        <v>34</v>
      </c>
      <c r="W9" s="42"/>
      <c r="X9" s="42"/>
      <c r="Y9" s="42" t="s">
        <v>34</v>
      </c>
      <c r="Z9" s="42"/>
      <c r="AA9" s="42"/>
      <c r="AB9" s="42"/>
      <c r="AC9" s="42"/>
      <c r="AD9" s="42"/>
      <c r="AE9" s="42"/>
    </row>
    <row r="10" spans="1:31" s="58" customFormat="1" ht="23.25" customHeight="1">
      <c r="A10" s="1357" t="s">
        <v>40</v>
      </c>
      <c r="B10" s="1357" t="s">
        <v>1046</v>
      </c>
      <c r="C10" s="1360" t="s">
        <v>42</v>
      </c>
      <c r="D10" s="1304" t="s">
        <v>862</v>
      </c>
      <c r="E10" s="1304" t="s">
        <v>863</v>
      </c>
      <c r="F10" s="1304" t="s">
        <v>1273</v>
      </c>
      <c r="G10" s="1363" t="s">
        <v>1274</v>
      </c>
      <c r="H10" s="1304" t="s">
        <v>861</v>
      </c>
      <c r="I10" s="1304" t="s">
        <v>624</v>
      </c>
      <c r="J10" s="1300" t="s">
        <v>878</v>
      </c>
      <c r="K10" s="1304"/>
      <c r="L10" s="598" t="s">
        <v>14</v>
      </c>
      <c r="M10" s="55">
        <f>M11+M12+M13</f>
        <v>19380740</v>
      </c>
      <c r="N10" s="55">
        <f>N11+N12+N13</f>
        <v>5149391.1100000003</v>
      </c>
      <c r="O10" s="55">
        <f>O11+O12+O13</f>
        <v>5395834.5500000007</v>
      </c>
      <c r="P10" s="55">
        <f>P11+P12+P13</f>
        <v>4362166.34</v>
      </c>
      <c r="Q10" s="781"/>
      <c r="R10" s="55" t="s">
        <v>34</v>
      </c>
      <c r="S10" s="55"/>
      <c r="T10" s="55" t="s">
        <v>34</v>
      </c>
      <c r="U10" s="55"/>
      <c r="V10" s="55">
        <v>127400</v>
      </c>
      <c r="W10" s="55">
        <v>190200</v>
      </c>
      <c r="X10" s="55">
        <f>2891000-M19-M34</f>
        <v>1819840</v>
      </c>
      <c r="Y10" s="64">
        <f>V10+W10+X10</f>
        <v>2137440</v>
      </c>
      <c r="Z10" s="55">
        <v>0</v>
      </c>
      <c r="AA10" s="55">
        <v>0</v>
      </c>
      <c r="AB10" s="55">
        <v>0</v>
      </c>
      <c r="AC10" s="55">
        <f>AA10+AB10</f>
        <v>0</v>
      </c>
      <c r="AD10" s="55"/>
      <c r="AE10" s="55">
        <v>0</v>
      </c>
    </row>
    <row r="11" spans="1:31" s="58" customFormat="1">
      <c r="A11" s="1358"/>
      <c r="B11" s="1358"/>
      <c r="C11" s="1361"/>
      <c r="D11" s="1305"/>
      <c r="E11" s="1305"/>
      <c r="F11" s="1305"/>
      <c r="G11" s="1364"/>
      <c r="H11" s="1366"/>
      <c r="I11" s="1305"/>
      <c r="J11" s="1301"/>
      <c r="K11" s="1305"/>
      <c r="L11" s="595" t="s">
        <v>840</v>
      </c>
      <c r="M11" s="55">
        <v>16613300</v>
      </c>
      <c r="N11" s="774">
        <f>3164862.58+842377.42+184500</f>
        <v>4191740</v>
      </c>
      <c r="O11" s="774">
        <f>3180778.21+745714.19+172800</f>
        <v>4099292.4</v>
      </c>
      <c r="P11" s="173">
        <f>1108970+1101290+126070+252800+252800+252800+47750+47750+54980</f>
        <v>3245210</v>
      </c>
      <c r="Q11" s="895"/>
      <c r="R11" s="55" t="s">
        <v>34</v>
      </c>
      <c r="S11" s="55" t="s">
        <v>34</v>
      </c>
      <c r="T11" s="55"/>
      <c r="U11" s="55"/>
      <c r="V11" s="55"/>
      <c r="W11" s="55"/>
      <c r="X11" s="55"/>
      <c r="Y11" s="64"/>
      <c r="Z11" s="55"/>
      <c r="AA11" s="55"/>
      <c r="AB11" s="55"/>
      <c r="AC11" s="55"/>
      <c r="AD11" s="55"/>
      <c r="AE11" s="55"/>
    </row>
    <row r="12" spans="1:31" s="58" customFormat="1">
      <c r="A12" s="1358"/>
      <c r="B12" s="1358"/>
      <c r="C12" s="1361"/>
      <c r="D12" s="1305"/>
      <c r="E12" s="1305"/>
      <c r="F12" s="1305"/>
      <c r="G12" s="1364"/>
      <c r="H12" s="1366"/>
      <c r="I12" s="1305"/>
      <c r="J12" s="1301"/>
      <c r="K12" s="1305"/>
      <c r="L12" s="594" t="s">
        <v>230</v>
      </c>
      <c r="M12" s="55">
        <v>630000</v>
      </c>
      <c r="N12" s="774">
        <v>0</v>
      </c>
      <c r="O12" s="774">
        <v>315000</v>
      </c>
      <c r="P12" s="173">
        <f>52500*3</f>
        <v>157500</v>
      </c>
      <c r="Q12" s="895"/>
      <c r="R12" s="55">
        <v>525000</v>
      </c>
      <c r="S12" s="55" t="s">
        <v>34</v>
      </c>
      <c r="T12" s="55"/>
      <c r="U12" s="55"/>
      <c r="V12" s="55"/>
      <c r="W12" s="55"/>
      <c r="X12" s="55"/>
      <c r="Y12" s="64"/>
      <c r="Z12" s="55"/>
      <c r="AA12" s="55"/>
      <c r="AB12" s="55"/>
      <c r="AC12" s="55"/>
      <c r="AD12" s="55"/>
      <c r="AE12" s="55"/>
    </row>
    <row r="13" spans="1:31" s="58" customFormat="1">
      <c r="A13" s="1358"/>
      <c r="B13" s="1358"/>
      <c r="C13" s="1361"/>
      <c r="D13" s="1305"/>
      <c r="E13" s="1305"/>
      <c r="F13" s="1305"/>
      <c r="G13" s="1364"/>
      <c r="H13" s="1366"/>
      <c r="I13" s="1305"/>
      <c r="J13" s="1301"/>
      <c r="K13" s="1305"/>
      <c r="L13" s="596" t="s">
        <v>243</v>
      </c>
      <c r="M13" s="55">
        <f>M14+M15+M16+M17+M18</f>
        <v>2137440</v>
      </c>
      <c r="N13" s="55">
        <f>N14+N15+N16+N17+N18</f>
        <v>957651.11</v>
      </c>
      <c r="O13" s="55">
        <f>O14+O15+O16+O17+O18</f>
        <v>981542.15</v>
      </c>
      <c r="P13" s="55">
        <f>P14+P15+P16+P17+P18</f>
        <v>959456.34</v>
      </c>
      <c r="Q13" s="781"/>
      <c r="R13" s="55" t="s">
        <v>34</v>
      </c>
      <c r="S13" s="55" t="s">
        <v>34</v>
      </c>
      <c r="T13" s="55"/>
      <c r="U13" s="55"/>
      <c r="V13" s="55"/>
      <c r="W13" s="55"/>
      <c r="X13" s="55"/>
      <c r="Y13" s="64"/>
      <c r="Z13" s="55"/>
      <c r="AA13" s="55"/>
      <c r="AB13" s="55"/>
      <c r="AC13" s="55"/>
      <c r="AD13" s="55"/>
      <c r="AE13" s="55"/>
    </row>
    <row r="14" spans="1:31" s="58" customFormat="1">
      <c r="A14" s="1358"/>
      <c r="B14" s="1358"/>
      <c r="C14" s="1361"/>
      <c r="D14" s="1305"/>
      <c r="E14" s="1305"/>
      <c r="F14" s="1305"/>
      <c r="G14" s="1364"/>
      <c r="H14" s="1366"/>
      <c r="I14" s="1305"/>
      <c r="J14" s="1301"/>
      <c r="K14" s="1305"/>
      <c r="L14" s="597" t="s">
        <v>843</v>
      </c>
      <c r="M14" s="55">
        <v>127400</v>
      </c>
      <c r="N14" s="774">
        <v>26550</v>
      </c>
      <c r="O14" s="774">
        <v>63419.75</v>
      </c>
      <c r="P14" s="101">
        <v>0</v>
      </c>
      <c r="Q14" s="782"/>
      <c r="R14" s="55" t="s">
        <v>34</v>
      </c>
      <c r="S14" s="55"/>
      <c r="T14" s="55"/>
      <c r="U14" s="55"/>
      <c r="V14" s="55"/>
      <c r="W14" s="55"/>
      <c r="X14" s="55"/>
      <c r="Y14" s="64"/>
      <c r="Z14" s="55"/>
      <c r="AA14" s="55"/>
      <c r="AB14" s="55"/>
      <c r="AC14" s="55"/>
      <c r="AD14" s="55"/>
      <c r="AE14" s="55"/>
    </row>
    <row r="15" spans="1:31" s="58" customFormat="1">
      <c r="A15" s="1358"/>
      <c r="B15" s="1358"/>
      <c r="C15" s="1361"/>
      <c r="D15" s="1305"/>
      <c r="E15" s="1305"/>
      <c r="F15" s="1305"/>
      <c r="G15" s="1364"/>
      <c r="H15" s="1366"/>
      <c r="I15" s="1305"/>
      <c r="J15" s="1301"/>
      <c r="K15" s="1305"/>
      <c r="L15" s="597" t="s">
        <v>844</v>
      </c>
      <c r="M15" s="55">
        <v>190200</v>
      </c>
      <c r="N15" s="774">
        <v>316943.5</v>
      </c>
      <c r="O15" s="774">
        <v>490103.15</v>
      </c>
      <c r="P15" s="101">
        <f>176231.25+194046+195195.19</f>
        <v>565472.43999999994</v>
      </c>
      <c r="Q15" s="782"/>
      <c r="R15" s="55"/>
      <c r="S15" s="55"/>
      <c r="T15" s="55"/>
      <c r="U15" s="55"/>
      <c r="V15" s="55"/>
      <c r="W15" s="55"/>
      <c r="X15" s="55"/>
      <c r="Y15" s="64"/>
      <c r="Z15" s="55"/>
      <c r="AA15" s="55"/>
      <c r="AB15" s="55"/>
      <c r="AC15" s="55"/>
      <c r="AD15" s="55"/>
      <c r="AE15" s="55"/>
    </row>
    <row r="16" spans="1:31" s="58" customFormat="1">
      <c r="A16" s="1358"/>
      <c r="B16" s="1358"/>
      <c r="C16" s="1361"/>
      <c r="D16" s="1305"/>
      <c r="E16" s="1305"/>
      <c r="F16" s="1305"/>
      <c r="G16" s="1364"/>
      <c r="H16" s="1366"/>
      <c r="I16" s="1305"/>
      <c r="J16" s="1301"/>
      <c r="K16" s="1305"/>
      <c r="L16" s="597" t="s">
        <v>845</v>
      </c>
      <c r="M16" s="55">
        <v>1819840</v>
      </c>
      <c r="N16" s="774">
        <v>614157.61</v>
      </c>
      <c r="O16" s="55">
        <v>428019.25</v>
      </c>
      <c r="P16" s="101">
        <f>110673.6+12122.6+271187.7</f>
        <v>393983.9</v>
      </c>
      <c r="Q16" s="782"/>
      <c r="R16" s="55"/>
      <c r="S16" s="55"/>
      <c r="T16" s="55"/>
      <c r="U16" s="55"/>
      <c r="V16" s="55"/>
      <c r="W16" s="55"/>
      <c r="X16" s="55"/>
      <c r="Y16" s="64"/>
      <c r="Z16" s="55"/>
      <c r="AA16" s="55"/>
      <c r="AB16" s="55"/>
      <c r="AC16" s="55"/>
      <c r="AD16" s="55"/>
      <c r="AE16" s="55"/>
    </row>
    <row r="17" spans="1:31" s="58" customFormat="1">
      <c r="A17" s="1358"/>
      <c r="B17" s="1358"/>
      <c r="C17" s="1361"/>
      <c r="D17" s="1305"/>
      <c r="E17" s="1305"/>
      <c r="F17" s="1305"/>
      <c r="G17" s="1364"/>
      <c r="H17" s="1366"/>
      <c r="I17" s="1305"/>
      <c r="J17" s="1301"/>
      <c r="K17" s="1305"/>
      <c r="L17" s="594" t="s">
        <v>841</v>
      </c>
      <c r="M17" s="55">
        <v>0</v>
      </c>
      <c r="N17" s="55"/>
      <c r="O17" s="55"/>
      <c r="P17" s="55"/>
      <c r="Q17" s="781"/>
      <c r="R17" s="55"/>
      <c r="S17" s="55"/>
      <c r="T17" s="55"/>
      <c r="U17" s="55"/>
      <c r="V17" s="55"/>
      <c r="W17" s="55"/>
      <c r="X17" s="55"/>
      <c r="Y17" s="64"/>
      <c r="Z17" s="55"/>
      <c r="AA17" s="55"/>
      <c r="AB17" s="55"/>
      <c r="AC17" s="55"/>
      <c r="AD17" s="55"/>
      <c r="AE17" s="55"/>
    </row>
    <row r="18" spans="1:31" s="58" customFormat="1" ht="117.75" customHeight="1">
      <c r="A18" s="1359"/>
      <c r="B18" s="1359"/>
      <c r="C18" s="1362"/>
      <c r="D18" s="1310"/>
      <c r="E18" s="1310"/>
      <c r="F18" s="1310"/>
      <c r="G18" s="1365"/>
      <c r="H18" s="1367"/>
      <c r="I18" s="1310"/>
      <c r="J18" s="1368"/>
      <c r="K18" s="1310"/>
      <c r="L18" s="594" t="s">
        <v>842</v>
      </c>
      <c r="M18" s="55">
        <v>0</v>
      </c>
      <c r="N18" s="55"/>
      <c r="O18" s="55"/>
      <c r="P18" s="55"/>
      <c r="Q18" s="781"/>
      <c r="R18" s="55"/>
      <c r="S18" s="55"/>
      <c r="T18" s="55"/>
      <c r="U18" s="55"/>
      <c r="V18" s="55"/>
      <c r="W18" s="55"/>
      <c r="X18" s="55"/>
      <c r="Y18" s="64"/>
      <c r="Z18" s="55"/>
      <c r="AA18" s="55"/>
      <c r="AB18" s="55"/>
      <c r="AC18" s="55"/>
      <c r="AD18" s="55"/>
      <c r="AE18" s="55"/>
    </row>
    <row r="19" spans="1:31" s="770" customFormat="1" ht="42">
      <c r="A19" s="250"/>
      <c r="B19" s="250"/>
      <c r="C19" s="250" t="s">
        <v>1041</v>
      </c>
      <c r="D19" s="693"/>
      <c r="E19" s="693"/>
      <c r="F19" s="654"/>
      <c r="G19" s="693"/>
      <c r="H19" s="693"/>
      <c r="I19" s="693"/>
      <c r="J19" s="250"/>
      <c r="K19" s="250"/>
      <c r="L19" s="250"/>
      <c r="M19" s="100">
        <f>M20+M21+M22+M23+M26+M27+M28+M29+M30+M31+M33</f>
        <v>871160</v>
      </c>
      <c r="N19" s="100"/>
      <c r="O19" s="100"/>
      <c r="P19" s="100"/>
      <c r="Q19" s="783"/>
      <c r="R19" s="100"/>
      <c r="S19" s="100"/>
      <c r="T19" s="250"/>
      <c r="U19" s="250" t="s">
        <v>34</v>
      </c>
      <c r="V19" s="250"/>
      <c r="W19" s="250"/>
      <c r="X19" s="250"/>
      <c r="Y19" s="250" t="s">
        <v>34</v>
      </c>
      <c r="Z19" s="250"/>
      <c r="AA19" s="250"/>
      <c r="AB19" s="250"/>
      <c r="AC19" s="250"/>
      <c r="AD19" s="250"/>
      <c r="AE19" s="250"/>
    </row>
    <row r="20" spans="1:31" s="501" customFormat="1" ht="239.25" customHeight="1">
      <c r="A20" s="509" t="s">
        <v>44</v>
      </c>
      <c r="B20" s="483" t="s">
        <v>45</v>
      </c>
      <c r="C20" s="483" t="s">
        <v>46</v>
      </c>
      <c r="D20" s="734" t="s">
        <v>627</v>
      </c>
      <c r="E20" s="653" t="s">
        <v>600</v>
      </c>
      <c r="F20" s="654" t="s">
        <v>628</v>
      </c>
      <c r="G20" s="734" t="s">
        <v>601</v>
      </c>
      <c r="H20" s="734" t="s">
        <v>626</v>
      </c>
      <c r="I20" s="734" t="s">
        <v>50</v>
      </c>
      <c r="J20" s="713" t="s">
        <v>878</v>
      </c>
      <c r="K20" s="483"/>
      <c r="L20" s="499" t="s">
        <v>243</v>
      </c>
      <c r="M20" s="499">
        <v>7000</v>
      </c>
      <c r="N20" s="499" t="s">
        <v>1001</v>
      </c>
      <c r="O20" s="499" t="s">
        <v>1002</v>
      </c>
      <c r="P20" s="499" t="s">
        <v>1021</v>
      </c>
      <c r="Q20" s="785" t="s">
        <v>1223</v>
      </c>
      <c r="R20" s="499" t="s">
        <v>986</v>
      </c>
      <c r="S20" s="735" t="s">
        <v>1224</v>
      </c>
      <c r="T20" s="735" t="s">
        <v>987</v>
      </c>
      <c r="U20" s="499">
        <v>0</v>
      </c>
      <c r="V20" s="499">
        <v>0</v>
      </c>
      <c r="W20" s="499">
        <v>6600</v>
      </c>
      <c r="X20" s="499">
        <v>400</v>
      </c>
      <c r="Y20" s="499">
        <f>SUM(V20:X20)</f>
        <v>7000</v>
      </c>
      <c r="Z20" s="499">
        <v>0</v>
      </c>
      <c r="AA20" s="499">
        <v>0</v>
      </c>
      <c r="AB20" s="499">
        <v>0</v>
      </c>
      <c r="AC20" s="499">
        <f>AA20+AB20</f>
        <v>0</v>
      </c>
      <c r="AD20" s="499"/>
      <c r="AE20" s="499">
        <v>0</v>
      </c>
    </row>
    <row r="21" spans="1:31" s="501" customFormat="1" ht="295.5" customHeight="1">
      <c r="A21" s="508" t="s">
        <v>54</v>
      </c>
      <c r="B21" s="572" t="s">
        <v>55</v>
      </c>
      <c r="C21" s="70" t="s">
        <v>56</v>
      </c>
      <c r="D21" s="544" t="s">
        <v>603</v>
      </c>
      <c r="E21" s="706" t="s">
        <v>602</v>
      </c>
      <c r="F21" s="654" t="s">
        <v>1275</v>
      </c>
      <c r="G21" s="544" t="s">
        <v>604</v>
      </c>
      <c r="H21" s="544" t="s">
        <v>605</v>
      </c>
      <c r="I21" s="656" t="s">
        <v>57</v>
      </c>
      <c r="J21" s="713" t="s">
        <v>878</v>
      </c>
      <c r="K21" s="70"/>
      <c r="L21" s="499" t="s">
        <v>243</v>
      </c>
      <c r="M21" s="499">
        <v>38000</v>
      </c>
      <c r="N21" s="500"/>
      <c r="O21" s="499" t="s">
        <v>1114</v>
      </c>
      <c r="P21" s="603" t="s">
        <v>737</v>
      </c>
      <c r="Q21" s="785"/>
      <c r="R21" s="499" t="s">
        <v>1016</v>
      </c>
      <c r="S21" s="500"/>
      <c r="T21" s="515">
        <v>0</v>
      </c>
      <c r="U21" s="516">
        <v>0</v>
      </c>
      <c r="V21" s="516">
        <v>0</v>
      </c>
      <c r="W21" s="516">
        <v>38000</v>
      </c>
      <c r="X21" s="516">
        <v>0</v>
      </c>
      <c r="Y21" s="499">
        <f>V21+W21+X21</f>
        <v>38000</v>
      </c>
      <c r="Z21" s="516">
        <v>0</v>
      </c>
      <c r="AA21" s="516">
        <v>0</v>
      </c>
      <c r="AB21" s="499">
        <v>0</v>
      </c>
      <c r="AC21" s="499">
        <f>AA21+AB21</f>
        <v>0</v>
      </c>
      <c r="AD21" s="499"/>
      <c r="AE21" s="499">
        <v>0</v>
      </c>
    </row>
    <row r="22" spans="1:31" s="501" customFormat="1" ht="312" customHeight="1">
      <c r="A22" s="508" t="s">
        <v>66</v>
      </c>
      <c r="B22" s="572" t="s">
        <v>55</v>
      </c>
      <c r="C22" s="70" t="s">
        <v>67</v>
      </c>
      <c r="D22" s="544" t="s">
        <v>606</v>
      </c>
      <c r="E22" s="544" t="s">
        <v>607</v>
      </c>
      <c r="F22" s="734" t="s">
        <v>608</v>
      </c>
      <c r="G22" s="544" t="s">
        <v>609</v>
      </c>
      <c r="H22" s="544" t="s">
        <v>610</v>
      </c>
      <c r="I22" s="656" t="s">
        <v>57</v>
      </c>
      <c r="J22" s="713" t="s">
        <v>878</v>
      </c>
      <c r="K22" s="70"/>
      <c r="L22" s="499" t="s">
        <v>243</v>
      </c>
      <c r="M22" s="499">
        <v>18000</v>
      </c>
      <c r="N22" s="516" t="s">
        <v>646</v>
      </c>
      <c r="O22" s="500" t="s">
        <v>1115</v>
      </c>
      <c r="P22" s="499" t="s">
        <v>1017</v>
      </c>
      <c r="Q22" s="784"/>
      <c r="R22" s="499" t="s">
        <v>34</v>
      </c>
      <c r="S22" s="500"/>
      <c r="T22" s="515">
        <v>0</v>
      </c>
      <c r="U22" s="516">
        <v>0</v>
      </c>
      <c r="V22" s="516">
        <v>0</v>
      </c>
      <c r="W22" s="516">
        <v>17025</v>
      </c>
      <c r="X22" s="516">
        <v>975</v>
      </c>
      <c r="Y22" s="499">
        <f>V22+W22+X22</f>
        <v>18000</v>
      </c>
      <c r="Z22" s="516">
        <v>0</v>
      </c>
      <c r="AA22" s="516">
        <v>0</v>
      </c>
      <c r="AB22" s="499">
        <v>0</v>
      </c>
      <c r="AC22" s="499">
        <f>AA22+AB22</f>
        <v>0</v>
      </c>
      <c r="AD22" s="499"/>
      <c r="AE22" s="499">
        <v>0</v>
      </c>
    </row>
    <row r="23" spans="1:31" s="501" customFormat="1" ht="19.5" customHeight="1">
      <c r="A23" s="508" t="s">
        <v>73</v>
      </c>
      <c r="B23" s="742" t="s">
        <v>55</v>
      </c>
      <c r="C23" s="507" t="s">
        <v>74</v>
      </c>
      <c r="D23" s="730" t="s">
        <v>903</v>
      </c>
      <c r="E23" s="730" t="s">
        <v>905</v>
      </c>
      <c r="F23" s="733" t="s">
        <v>908</v>
      </c>
      <c r="G23" s="733" t="s">
        <v>612</v>
      </c>
      <c r="H23" s="733" t="s">
        <v>611</v>
      </c>
      <c r="I23" s="733" t="s">
        <v>57</v>
      </c>
      <c r="J23" s="733" t="s">
        <v>878</v>
      </c>
      <c r="K23" s="733"/>
      <c r="L23" s="604" t="s">
        <v>14</v>
      </c>
      <c r="M23" s="499">
        <f>M24+M25</f>
        <v>80000</v>
      </c>
      <c r="N23" s="499"/>
      <c r="O23" s="513" t="s">
        <v>1116</v>
      </c>
      <c r="P23" s="499"/>
      <c r="Q23" s="784"/>
      <c r="R23" s="499"/>
      <c r="S23" s="499"/>
      <c r="T23" s="602">
        <v>0</v>
      </c>
      <c r="U23" s="603">
        <v>0</v>
      </c>
      <c r="V23" s="603">
        <v>0</v>
      </c>
      <c r="W23" s="603">
        <v>2400</v>
      </c>
      <c r="X23" s="603">
        <v>72600</v>
      </c>
      <c r="Y23" s="499">
        <f>V23+W23+X23</f>
        <v>75000</v>
      </c>
      <c r="Z23" s="603">
        <v>5000</v>
      </c>
      <c r="AA23" s="603">
        <v>0</v>
      </c>
      <c r="AB23" s="499">
        <v>0</v>
      </c>
      <c r="AC23" s="499">
        <f>AA23+AB23</f>
        <v>0</v>
      </c>
      <c r="AD23" s="499"/>
      <c r="AE23" s="499">
        <v>0</v>
      </c>
    </row>
    <row r="24" spans="1:31" s="612" customFormat="1" ht="18.75" customHeight="1">
      <c r="A24" s="743"/>
      <c r="B24" s="744"/>
      <c r="C24" s="745"/>
      <c r="D24" s="944" t="s">
        <v>904</v>
      </c>
      <c r="E24" s="944" t="s">
        <v>906</v>
      </c>
      <c r="F24" s="947" t="s">
        <v>909</v>
      </c>
      <c r="G24" s="947"/>
      <c r="H24" s="947"/>
      <c r="I24" s="947"/>
      <c r="J24" s="947"/>
      <c r="K24" s="947"/>
      <c r="L24" s="599" t="s">
        <v>846</v>
      </c>
      <c r="M24" s="601">
        <v>75000</v>
      </c>
      <c r="N24" s="610"/>
      <c r="O24" s="896" t="s">
        <v>1117</v>
      </c>
      <c r="P24" s="610"/>
      <c r="Q24" s="786"/>
      <c r="R24" s="610"/>
      <c r="S24" s="610"/>
      <c r="T24" s="84"/>
      <c r="U24" s="600"/>
      <c r="V24" s="600"/>
      <c r="W24" s="600"/>
      <c r="X24" s="600"/>
      <c r="Y24" s="601"/>
      <c r="Z24" s="600"/>
      <c r="AA24" s="600"/>
      <c r="AB24" s="601"/>
      <c r="AC24" s="601"/>
      <c r="AD24" s="601"/>
      <c r="AE24" s="601"/>
    </row>
    <row r="25" spans="1:31" s="141" customFormat="1" ht="219.75" customHeight="1">
      <c r="A25" s="746"/>
      <c r="B25" s="509"/>
      <c r="C25" s="592"/>
      <c r="D25" s="734" t="s">
        <v>901</v>
      </c>
      <c r="E25" s="734" t="s">
        <v>907</v>
      </c>
      <c r="F25" s="713" t="s">
        <v>902</v>
      </c>
      <c r="G25" s="713"/>
      <c r="H25" s="713"/>
      <c r="I25" s="713"/>
      <c r="J25" s="713"/>
      <c r="K25" s="713"/>
      <c r="L25" s="499" t="s">
        <v>847</v>
      </c>
      <c r="M25" s="92">
        <v>5000</v>
      </c>
      <c r="N25" s="101" t="s">
        <v>646</v>
      </c>
      <c r="O25" s="513" t="s">
        <v>1118</v>
      </c>
      <c r="P25" s="499" t="s">
        <v>1018</v>
      </c>
      <c r="Q25" s="784"/>
      <c r="R25" s="499" t="s">
        <v>1207</v>
      </c>
      <c r="S25" s="92" t="s">
        <v>1208</v>
      </c>
      <c r="T25" s="72"/>
      <c r="U25" s="91"/>
      <c r="V25" s="91"/>
      <c r="W25" s="91"/>
      <c r="X25" s="91"/>
      <c r="Y25" s="92"/>
      <c r="Z25" s="91"/>
      <c r="AA25" s="91"/>
      <c r="AB25" s="92"/>
      <c r="AC25" s="92"/>
      <c r="AD25" s="92"/>
      <c r="AE25" s="92"/>
    </row>
    <row r="26" spans="1:31" s="514" customFormat="1" ht="311.25" customHeight="1">
      <c r="A26" s="740" t="s">
        <v>80</v>
      </c>
      <c r="B26" s="741" t="s">
        <v>81</v>
      </c>
      <c r="C26" s="70" t="s">
        <v>82</v>
      </c>
      <c r="D26" s="731" t="s">
        <v>629</v>
      </c>
      <c r="E26" s="747" t="s">
        <v>848</v>
      </c>
      <c r="F26" s="932" t="s">
        <v>615</v>
      </c>
      <c r="G26" s="731" t="s">
        <v>613</v>
      </c>
      <c r="H26" s="731" t="s">
        <v>614</v>
      </c>
      <c r="I26" s="544" t="s">
        <v>57</v>
      </c>
      <c r="J26" s="712" t="s">
        <v>878</v>
      </c>
      <c r="K26" s="582"/>
      <c r="L26" s="500" t="s">
        <v>243</v>
      </c>
      <c r="M26" s="511">
        <v>6000</v>
      </c>
      <c r="N26" s="511"/>
      <c r="O26" s="511" t="s">
        <v>1119</v>
      </c>
      <c r="P26" s="957" t="s">
        <v>979</v>
      </c>
      <c r="Q26" s="965"/>
      <c r="S26" s="511"/>
      <c r="T26" s="515">
        <v>0</v>
      </c>
      <c r="U26" s="516">
        <v>0</v>
      </c>
      <c r="V26" s="516">
        <v>0</v>
      </c>
      <c r="W26" s="512">
        <v>6000</v>
      </c>
      <c r="X26" s="512">
        <v>0</v>
      </c>
      <c r="Y26" s="513">
        <f>V26+W26+X26</f>
        <v>6000</v>
      </c>
      <c r="Z26" s="516">
        <v>0</v>
      </c>
      <c r="AA26" s="516">
        <v>0</v>
      </c>
      <c r="AB26" s="499">
        <v>0</v>
      </c>
      <c r="AC26" s="499">
        <f>AA26+AB26</f>
        <v>0</v>
      </c>
      <c r="AD26" s="499"/>
      <c r="AE26" s="499">
        <v>0</v>
      </c>
    </row>
    <row r="27" spans="1:31" s="501" customFormat="1" ht="117.75" customHeight="1">
      <c r="A27" s="746" t="s">
        <v>88</v>
      </c>
      <c r="B27" s="591" t="s">
        <v>89</v>
      </c>
      <c r="C27" s="591" t="s">
        <v>90</v>
      </c>
      <c r="D27" s="734" t="s">
        <v>91</v>
      </c>
      <c r="E27" s="653" t="s">
        <v>92</v>
      </c>
      <c r="F27" s="734" t="s">
        <v>93</v>
      </c>
      <c r="G27" s="734" t="s">
        <v>616</v>
      </c>
      <c r="H27" s="734" t="s">
        <v>611</v>
      </c>
      <c r="I27" s="734" t="s">
        <v>57</v>
      </c>
      <c r="J27" s="713" t="s">
        <v>878</v>
      </c>
      <c r="K27" s="591"/>
      <c r="L27" s="499" t="s">
        <v>243</v>
      </c>
      <c r="M27" s="602">
        <v>20360</v>
      </c>
      <c r="N27" s="602"/>
      <c r="O27" s="602" t="s">
        <v>1036</v>
      </c>
      <c r="P27" s="603" t="s">
        <v>1037</v>
      </c>
      <c r="Q27" s="785" t="s">
        <v>646</v>
      </c>
      <c r="R27" s="603" t="s">
        <v>737</v>
      </c>
      <c r="S27" s="603" t="s">
        <v>737</v>
      </c>
      <c r="T27" s="515">
        <v>0</v>
      </c>
      <c r="U27" s="516">
        <v>0</v>
      </c>
      <c r="V27" s="516">
        <v>1600</v>
      </c>
      <c r="W27" s="516">
        <v>18760</v>
      </c>
      <c r="X27" s="516">
        <v>0</v>
      </c>
      <c r="Y27" s="516">
        <f t="shared" ref="Y27:Y34" si="0">SUM(V27:X27)</f>
        <v>20360</v>
      </c>
      <c r="Z27" s="516">
        <v>0</v>
      </c>
      <c r="AA27" s="516">
        <v>0</v>
      </c>
      <c r="AB27" s="499">
        <v>0</v>
      </c>
      <c r="AC27" s="499">
        <f>SUM(AA27:AB27)</f>
        <v>0</v>
      </c>
      <c r="AD27" s="499"/>
      <c r="AE27" s="499"/>
    </row>
    <row r="28" spans="1:31" s="514" customFormat="1" ht="348.75" customHeight="1">
      <c r="A28" s="517" t="s">
        <v>100</v>
      </c>
      <c r="B28" s="136" t="s">
        <v>101</v>
      </c>
      <c r="C28" s="136" t="s">
        <v>102</v>
      </c>
      <c r="D28" s="656" t="s">
        <v>631</v>
      </c>
      <c r="E28" s="656" t="s">
        <v>632</v>
      </c>
      <c r="F28" s="502" t="s">
        <v>910</v>
      </c>
      <c r="G28" s="656" t="s">
        <v>633</v>
      </c>
      <c r="H28" s="656" t="s">
        <v>634</v>
      </c>
      <c r="I28" s="656" t="s">
        <v>57</v>
      </c>
      <c r="J28" s="713" t="s">
        <v>630</v>
      </c>
      <c r="K28" s="605" t="s">
        <v>34</v>
      </c>
      <c r="L28" s="499" t="s">
        <v>243</v>
      </c>
      <c r="M28" s="529">
        <v>80000</v>
      </c>
      <c r="N28" s="529"/>
      <c r="O28" s="529" t="s">
        <v>1120</v>
      </c>
      <c r="P28" s="602" t="s">
        <v>1057</v>
      </c>
      <c r="Q28" s="841"/>
      <c r="R28" s="930" t="s">
        <v>1058</v>
      </c>
      <c r="S28" s="529"/>
      <c r="T28" s="529">
        <v>0</v>
      </c>
      <c r="U28" s="519">
        <v>0</v>
      </c>
      <c r="V28" s="519">
        <v>0</v>
      </c>
      <c r="W28" s="519">
        <v>80000</v>
      </c>
      <c r="X28" s="519">
        <v>0</v>
      </c>
      <c r="Y28" s="519">
        <f t="shared" si="0"/>
        <v>80000</v>
      </c>
      <c r="Z28" s="519">
        <v>0</v>
      </c>
      <c r="AA28" s="519">
        <v>0</v>
      </c>
      <c r="AB28" s="513">
        <v>0</v>
      </c>
      <c r="AC28" s="513">
        <f>SUM(AA28:AB28)</f>
        <v>0</v>
      </c>
      <c r="AD28" s="513"/>
      <c r="AE28" s="513">
        <v>0</v>
      </c>
    </row>
    <row r="29" spans="1:31" s="501" customFormat="1" ht="194.25" customHeight="1">
      <c r="A29" s="508" t="s">
        <v>105</v>
      </c>
      <c r="B29" s="572" t="s">
        <v>455</v>
      </c>
      <c r="C29" s="70" t="s">
        <v>107</v>
      </c>
      <c r="D29" s="656" t="s">
        <v>640</v>
      </c>
      <c r="E29" s="656" t="s">
        <v>635</v>
      </c>
      <c r="F29" s="656" t="s">
        <v>636</v>
      </c>
      <c r="G29" s="656" t="s">
        <v>637</v>
      </c>
      <c r="H29" s="656" t="s">
        <v>641</v>
      </c>
      <c r="I29" s="656" t="s">
        <v>57</v>
      </c>
      <c r="J29" s="505" t="s">
        <v>639</v>
      </c>
      <c r="K29" s="70"/>
      <c r="L29" s="499" t="s">
        <v>243</v>
      </c>
      <c r="M29" s="515">
        <v>350000</v>
      </c>
      <c r="N29" s="769">
        <v>78955.3</v>
      </c>
      <c r="O29" s="769" t="s">
        <v>1121</v>
      </c>
      <c r="P29" s="769">
        <v>46652</v>
      </c>
      <c r="Q29" s="788"/>
      <c r="R29" s="515" t="s">
        <v>973</v>
      </c>
      <c r="S29" s="515"/>
      <c r="T29" s="515">
        <v>0</v>
      </c>
      <c r="U29" s="516">
        <v>0</v>
      </c>
      <c r="V29" s="516">
        <v>0</v>
      </c>
      <c r="W29" s="516">
        <v>350000</v>
      </c>
      <c r="X29" s="516">
        <v>0</v>
      </c>
      <c r="Y29" s="516">
        <f t="shared" si="0"/>
        <v>350000</v>
      </c>
      <c r="Z29" s="516"/>
      <c r="AA29" s="516"/>
      <c r="AB29" s="499"/>
      <c r="AC29" s="499"/>
      <c r="AD29" s="499"/>
      <c r="AE29" s="499"/>
    </row>
    <row r="30" spans="1:31" s="520" customFormat="1" ht="184.5" customHeight="1">
      <c r="A30" s="517" t="s">
        <v>109</v>
      </c>
      <c r="B30" s="269" t="s">
        <v>41</v>
      </c>
      <c r="C30" s="269" t="s">
        <v>110</v>
      </c>
      <c r="D30" s="734" t="s">
        <v>642</v>
      </c>
      <c r="E30" s="734" t="s">
        <v>643</v>
      </c>
      <c r="F30" s="734" t="s">
        <v>644</v>
      </c>
      <c r="G30" s="734" t="s">
        <v>645</v>
      </c>
      <c r="H30" s="734" t="s">
        <v>646</v>
      </c>
      <c r="I30" s="656" t="s">
        <v>57</v>
      </c>
      <c r="J30" s="505" t="s">
        <v>639</v>
      </c>
      <c r="K30" s="483"/>
      <c r="L30" s="499" t="s">
        <v>243</v>
      </c>
      <c r="M30" s="515">
        <v>100000</v>
      </c>
      <c r="N30" s="511"/>
      <c r="O30" s="511" t="s">
        <v>1122</v>
      </c>
      <c r="P30" s="511" t="s">
        <v>1066</v>
      </c>
      <c r="Q30" s="787"/>
      <c r="R30" s="511"/>
      <c r="S30" s="511"/>
      <c r="T30" s="518">
        <v>0</v>
      </c>
      <c r="U30" s="518">
        <v>0</v>
      </c>
      <c r="V30" s="518">
        <v>0</v>
      </c>
      <c r="W30" s="513">
        <v>100000</v>
      </c>
      <c r="X30" s="518">
        <v>0</v>
      </c>
      <c r="Y30" s="519">
        <f t="shared" si="0"/>
        <v>100000</v>
      </c>
      <c r="Z30" s="518">
        <v>0</v>
      </c>
      <c r="AA30" s="518">
        <v>0</v>
      </c>
      <c r="AB30" s="518">
        <v>0</v>
      </c>
      <c r="AC30" s="518">
        <f>AA30+AB30</f>
        <v>0</v>
      </c>
      <c r="AD30" s="518"/>
      <c r="AE30" s="518">
        <v>0</v>
      </c>
    </row>
    <row r="31" spans="1:31" s="520" customFormat="1" ht="294" customHeight="1">
      <c r="A31" s="508" t="s">
        <v>111</v>
      </c>
      <c r="B31" s="726" t="s">
        <v>55</v>
      </c>
      <c r="C31" s="937" t="s">
        <v>592</v>
      </c>
      <c r="D31" s="668" t="s">
        <v>649</v>
      </c>
      <c r="E31" s="668" t="s">
        <v>650</v>
      </c>
      <c r="F31" s="668" t="s">
        <v>651</v>
      </c>
      <c r="G31" s="668" t="s">
        <v>647</v>
      </c>
      <c r="H31" s="668" t="s">
        <v>648</v>
      </c>
      <c r="I31" s="675" t="s">
        <v>57</v>
      </c>
      <c r="J31" s="589" t="s">
        <v>879</v>
      </c>
      <c r="K31" s="727"/>
      <c r="L31" s="763" t="s">
        <v>243</v>
      </c>
      <c r="M31" s="764">
        <v>140000</v>
      </c>
      <c r="N31" s="765"/>
      <c r="O31" s="765" t="s">
        <v>1123</v>
      </c>
      <c r="P31" s="765" t="s">
        <v>1019</v>
      </c>
      <c r="Q31" s="789"/>
      <c r="R31" s="765" t="s">
        <v>1209</v>
      </c>
      <c r="S31" s="765"/>
      <c r="T31" s="766">
        <v>0</v>
      </c>
      <c r="U31" s="766">
        <v>0</v>
      </c>
      <c r="V31" s="766">
        <v>0</v>
      </c>
      <c r="W31" s="767">
        <v>140000</v>
      </c>
      <c r="X31" s="766">
        <v>0</v>
      </c>
      <c r="Y31" s="768">
        <f t="shared" si="0"/>
        <v>140000</v>
      </c>
      <c r="Z31" s="766">
        <v>0</v>
      </c>
      <c r="AA31" s="766">
        <v>0</v>
      </c>
      <c r="AB31" s="766">
        <v>0</v>
      </c>
      <c r="AC31" s="766">
        <f>AA31+AB31</f>
        <v>0</v>
      </c>
      <c r="AD31" s="766"/>
      <c r="AE31" s="766">
        <v>0</v>
      </c>
    </row>
    <row r="32" spans="1:31" s="514" customFormat="1" ht="294" customHeight="1">
      <c r="A32" s="635"/>
      <c r="B32" s="762"/>
      <c r="C32" s="272"/>
      <c r="D32" s="660"/>
      <c r="E32" s="660"/>
      <c r="F32" s="660"/>
      <c r="G32" s="660"/>
      <c r="H32" s="660"/>
      <c r="I32" s="660"/>
      <c r="J32" s="503"/>
      <c r="K32" s="728"/>
      <c r="L32" s="500"/>
      <c r="M32" s="511"/>
      <c r="N32" s="511"/>
      <c r="O32" s="511"/>
      <c r="P32" s="511" t="s">
        <v>1020</v>
      </c>
      <c r="Q32" s="787"/>
      <c r="R32" s="511"/>
      <c r="S32" s="511"/>
      <c r="T32" s="521"/>
      <c r="U32" s="521"/>
      <c r="V32" s="521"/>
      <c r="W32" s="522"/>
      <c r="X32" s="521"/>
      <c r="Y32" s="512"/>
      <c r="Z32" s="521"/>
      <c r="AA32" s="521"/>
      <c r="AB32" s="521"/>
      <c r="AC32" s="521"/>
      <c r="AD32" s="521"/>
      <c r="AE32" s="521"/>
    </row>
    <row r="33" spans="1:31" s="607" customFormat="1" ht="134.25" customHeight="1">
      <c r="A33" s="543" t="s">
        <v>117</v>
      </c>
      <c r="B33" s="436" t="s">
        <v>89</v>
      </c>
      <c r="C33" s="130" t="s">
        <v>912</v>
      </c>
      <c r="D33" s="661" t="s">
        <v>34</v>
      </c>
      <c r="E33" s="661" t="s">
        <v>34</v>
      </c>
      <c r="F33" s="661" t="s">
        <v>34</v>
      </c>
      <c r="G33" s="661"/>
      <c r="H33" s="661"/>
      <c r="I33" s="656" t="s">
        <v>57</v>
      </c>
      <c r="J33" s="505" t="s">
        <v>879</v>
      </c>
      <c r="K33" s="130"/>
      <c r="L33" s="499" t="s">
        <v>243</v>
      </c>
      <c r="M33" s="511">
        <f>T33+U33+Y33+Z33+AC33+AE33</f>
        <v>31800</v>
      </c>
      <c r="N33" s="511"/>
      <c r="O33" s="511" t="s">
        <v>1124</v>
      </c>
      <c r="P33" s="511" t="s">
        <v>1048</v>
      </c>
      <c r="Q33" s="787"/>
      <c r="R33" s="511"/>
      <c r="S33" s="511"/>
      <c r="T33" s="606">
        <v>0</v>
      </c>
      <c r="U33" s="606">
        <v>0</v>
      </c>
      <c r="V33" s="606">
        <v>7200</v>
      </c>
      <c r="W33" s="606">
        <v>24600</v>
      </c>
      <c r="X33" s="606">
        <v>0</v>
      </c>
      <c r="Y33" s="606">
        <f t="shared" si="0"/>
        <v>31800</v>
      </c>
      <c r="Z33" s="606">
        <v>0</v>
      </c>
      <c r="AA33" s="606">
        <v>0</v>
      </c>
      <c r="AB33" s="606">
        <v>0</v>
      </c>
      <c r="AC33" s="606">
        <f>AA33+AB33</f>
        <v>0</v>
      </c>
      <c r="AD33" s="606"/>
      <c r="AE33" s="606">
        <v>0</v>
      </c>
    </row>
    <row r="34" spans="1:31" s="141" customFormat="1" ht="131.25" customHeight="1">
      <c r="A34" s="757" t="s">
        <v>127</v>
      </c>
      <c r="B34" s="758" t="s">
        <v>128</v>
      </c>
      <c r="C34" s="394" t="s">
        <v>129</v>
      </c>
      <c r="D34" s="656" t="s">
        <v>851</v>
      </c>
      <c r="E34" s="656" t="s">
        <v>852</v>
      </c>
      <c r="F34" s="656" t="s">
        <v>849</v>
      </c>
      <c r="G34" s="656" t="s">
        <v>797</v>
      </c>
      <c r="H34" s="656" t="s">
        <v>519</v>
      </c>
      <c r="I34" s="656" t="s">
        <v>57</v>
      </c>
      <c r="J34" s="506" t="s">
        <v>850</v>
      </c>
      <c r="K34" s="138"/>
      <c r="L34" s="499" t="s">
        <v>243</v>
      </c>
      <c r="M34" s="155">
        <f>T34+U34+Y34+Z34+AC34+AE34</f>
        <v>200000</v>
      </c>
      <c r="N34" s="74">
        <f>2590+7608+3372</f>
        <v>13570</v>
      </c>
      <c r="O34" s="74">
        <f>2798+7942+2432+600+7542+2172+4000</f>
        <v>27486</v>
      </c>
      <c r="P34" s="74">
        <f>6348+8000+7542+4000+4000+5228+2492+6128+5700+2300+2600+2600+3400</f>
        <v>60338</v>
      </c>
      <c r="Q34" s="790"/>
      <c r="R34" s="155">
        <f>N34+O34+P34</f>
        <v>101394</v>
      </c>
      <c r="S34" s="155"/>
      <c r="T34" s="55">
        <v>0</v>
      </c>
      <c r="U34" s="55">
        <v>0</v>
      </c>
      <c r="V34" s="55">
        <v>0</v>
      </c>
      <c r="W34" s="55">
        <v>200000</v>
      </c>
      <c r="X34" s="55">
        <v>0</v>
      </c>
      <c r="Y34" s="353">
        <f t="shared" si="0"/>
        <v>200000</v>
      </c>
      <c r="Z34" s="55"/>
      <c r="AA34" s="92"/>
      <c r="AB34" s="92"/>
      <c r="AC34" s="92"/>
      <c r="AD34" s="92"/>
      <c r="AE34" s="92"/>
    </row>
    <row r="35" spans="1:31" s="528" customFormat="1" ht="42.75" customHeight="1">
      <c r="A35" s="724" t="s">
        <v>131</v>
      </c>
      <c r="B35" s="748" t="s">
        <v>132</v>
      </c>
      <c r="C35" s="191" t="s">
        <v>133</v>
      </c>
      <c r="D35" s="1304" t="s">
        <v>652</v>
      </c>
      <c r="E35" s="1304" t="s">
        <v>653</v>
      </c>
      <c r="F35" s="1304" t="s">
        <v>654</v>
      </c>
      <c r="G35" s="1304" t="s">
        <v>655</v>
      </c>
      <c r="H35" s="1304" t="s">
        <v>611</v>
      </c>
      <c r="I35" s="1304" t="s">
        <v>57</v>
      </c>
      <c r="J35" s="1306" t="s">
        <v>878</v>
      </c>
      <c r="K35" s="1306"/>
      <c r="L35" s="726"/>
      <c r="M35" s="749">
        <f>W35+M43+M44+M45+M46+M47+M48+M49</f>
        <v>2360000</v>
      </c>
      <c r="N35" s="524"/>
      <c r="O35" s="765" t="s">
        <v>1042</v>
      </c>
      <c r="P35" s="524"/>
      <c r="Q35" s="791"/>
      <c r="R35" s="524"/>
      <c r="S35" s="524"/>
      <c r="T35" s="524"/>
      <c r="U35" s="525"/>
      <c r="V35" s="525"/>
      <c r="W35" s="525">
        <f>SUM(M37:M41)</f>
        <v>1760000</v>
      </c>
      <c r="X35" s="526" t="s">
        <v>34</v>
      </c>
      <c r="Y35" s="525"/>
      <c r="Z35" s="525"/>
      <c r="AA35" s="525"/>
      <c r="AB35" s="527"/>
      <c r="AC35" s="527"/>
      <c r="AD35" s="527"/>
      <c r="AE35" s="527"/>
    </row>
    <row r="36" spans="1:31" s="117" customFormat="1" ht="36">
      <c r="A36" s="207" t="s">
        <v>34</v>
      </c>
      <c r="B36" s="750" t="s">
        <v>34</v>
      </c>
      <c r="C36" s="191" t="s">
        <v>656</v>
      </c>
      <c r="D36" s="1305"/>
      <c r="E36" s="1305"/>
      <c r="F36" s="1305"/>
      <c r="G36" s="1305"/>
      <c r="H36" s="1305"/>
      <c r="I36" s="1305"/>
      <c r="J36" s="1307"/>
      <c r="K36" s="1307"/>
      <c r="L36" s="729" t="s">
        <v>853</v>
      </c>
      <c r="M36" s="205">
        <f>W36</f>
        <v>1760000</v>
      </c>
      <c r="N36" s="111"/>
      <c r="O36" s="765"/>
      <c r="P36" s="111"/>
      <c r="Q36" s="792"/>
      <c r="R36" s="111"/>
      <c r="S36" s="111"/>
      <c r="T36" s="111"/>
      <c r="U36" s="112"/>
      <c r="V36" s="112"/>
      <c r="W36" s="112">
        <f>SUM(M37:M41)</f>
        <v>1760000</v>
      </c>
      <c r="X36" s="112"/>
      <c r="Y36" s="112"/>
      <c r="Z36" s="112"/>
      <c r="AA36" s="112"/>
      <c r="AB36" s="523"/>
      <c r="AC36" s="523"/>
      <c r="AD36" s="523"/>
      <c r="AE36" s="523"/>
    </row>
    <row r="37" spans="1:31" s="117" customFormat="1" ht="54">
      <c r="A37" s="207"/>
      <c r="B37" s="374" t="s">
        <v>34</v>
      </c>
      <c r="C37" s="751" t="s">
        <v>34</v>
      </c>
      <c r="D37" s="1305"/>
      <c r="E37" s="1305"/>
      <c r="F37" s="1305"/>
      <c r="G37" s="1305"/>
      <c r="H37" s="1305"/>
      <c r="I37" s="1305"/>
      <c r="J37" s="1307"/>
      <c r="K37" s="1307"/>
      <c r="L37" s="752" t="s">
        <v>134</v>
      </c>
      <c r="M37" s="753">
        <v>560000</v>
      </c>
      <c r="N37" s="523"/>
      <c r="O37" s="767"/>
      <c r="P37" s="958">
        <v>560000</v>
      </c>
      <c r="Q37" s="793"/>
      <c r="R37" s="739" t="s">
        <v>1012</v>
      </c>
      <c r="S37" s="739" t="s">
        <v>1008</v>
      </c>
      <c r="T37" s="523"/>
      <c r="U37" s="523"/>
      <c r="V37" s="523" t="s">
        <v>34</v>
      </c>
      <c r="X37" s="523"/>
      <c r="Y37" s="523"/>
      <c r="Z37" s="523"/>
      <c r="AA37" s="523"/>
      <c r="AB37" s="523"/>
      <c r="AC37" s="523"/>
      <c r="AD37" s="523"/>
      <c r="AE37" s="523"/>
    </row>
    <row r="38" spans="1:31" s="117" customFormat="1" ht="36">
      <c r="A38" s="207"/>
      <c r="B38" s="374" t="s">
        <v>34</v>
      </c>
      <c r="C38" s="751" t="s">
        <v>34</v>
      </c>
      <c r="D38" s="1305"/>
      <c r="E38" s="1305"/>
      <c r="F38" s="1305"/>
      <c r="G38" s="1305"/>
      <c r="H38" s="1305"/>
      <c r="I38" s="1305"/>
      <c r="J38" s="1307"/>
      <c r="K38" s="1307"/>
      <c r="L38" s="752" t="s">
        <v>135</v>
      </c>
      <c r="M38" s="753">
        <v>960000</v>
      </c>
      <c r="N38" s="523"/>
      <c r="O38" s="767" t="s">
        <v>1125</v>
      </c>
      <c r="P38" s="958" t="s">
        <v>1009</v>
      </c>
      <c r="Q38" s="793"/>
      <c r="R38" s="739"/>
      <c r="S38" s="739"/>
      <c r="T38" s="523"/>
      <c r="U38" s="523"/>
      <c r="V38" s="523"/>
      <c r="X38" s="523"/>
      <c r="Y38" s="523"/>
      <c r="Z38" s="523"/>
      <c r="AA38" s="523"/>
      <c r="AB38" s="523"/>
      <c r="AC38" s="523"/>
      <c r="AD38" s="523"/>
      <c r="AE38" s="523"/>
    </row>
    <row r="39" spans="1:31" s="117" customFormat="1" ht="90">
      <c r="A39" s="207"/>
      <c r="B39" s="374" t="s">
        <v>34</v>
      </c>
      <c r="C39" s="751" t="s">
        <v>34</v>
      </c>
      <c r="D39" s="1305"/>
      <c r="E39" s="1305"/>
      <c r="F39" s="1305"/>
      <c r="G39" s="1305"/>
      <c r="H39" s="1305"/>
      <c r="I39" s="1305"/>
      <c r="J39" s="1307"/>
      <c r="K39" s="1307"/>
      <c r="L39" s="752" t="s">
        <v>136</v>
      </c>
      <c r="M39" s="753">
        <v>70000</v>
      </c>
      <c r="N39" s="523"/>
      <c r="O39" s="767" t="s">
        <v>1126</v>
      </c>
      <c r="P39" s="958">
        <v>68627</v>
      </c>
      <c r="Q39" s="793"/>
      <c r="R39" s="739" t="s">
        <v>1010</v>
      </c>
      <c r="S39" s="739" t="s">
        <v>1011</v>
      </c>
      <c r="T39" s="523"/>
      <c r="U39" s="523"/>
      <c r="V39" s="523"/>
      <c r="X39" s="523"/>
      <c r="Y39" s="523"/>
      <c r="Z39" s="523"/>
      <c r="AA39" s="523"/>
      <c r="AB39" s="523"/>
      <c r="AC39" s="523"/>
      <c r="AD39" s="523"/>
      <c r="AE39" s="523"/>
    </row>
    <row r="40" spans="1:31" s="117" customFormat="1" ht="36">
      <c r="A40" s="207"/>
      <c r="B40" s="374" t="s">
        <v>34</v>
      </c>
      <c r="C40" s="751" t="s">
        <v>39</v>
      </c>
      <c r="D40" s="1305"/>
      <c r="E40" s="1305"/>
      <c r="F40" s="1305"/>
      <c r="G40" s="1305"/>
      <c r="H40" s="1305"/>
      <c r="I40" s="1305"/>
      <c r="J40" s="1307"/>
      <c r="K40" s="1307"/>
      <c r="L40" s="741" t="s">
        <v>137</v>
      </c>
      <c r="M40" s="753">
        <v>100000</v>
      </c>
      <c r="N40" s="523"/>
      <c r="O40" s="767" t="s">
        <v>1127</v>
      </c>
      <c r="P40" s="958" t="s">
        <v>1009</v>
      </c>
      <c r="Q40" s="793"/>
      <c r="R40" s="739"/>
      <c r="S40" s="739"/>
      <c r="T40" s="523"/>
      <c r="U40" s="523"/>
      <c r="V40" s="523"/>
      <c r="X40" s="523"/>
      <c r="Y40" s="523"/>
      <c r="Z40" s="523"/>
      <c r="AA40" s="523"/>
      <c r="AB40" s="523"/>
      <c r="AC40" s="523"/>
      <c r="AD40" s="523"/>
      <c r="AE40" s="523"/>
    </row>
    <row r="41" spans="1:31" s="117" customFormat="1">
      <c r="A41" s="207"/>
      <c r="B41" s="374" t="s">
        <v>34</v>
      </c>
      <c r="C41" s="754" t="s">
        <v>34</v>
      </c>
      <c r="D41" s="1310"/>
      <c r="E41" s="1310"/>
      <c r="F41" s="1310"/>
      <c r="G41" s="1310"/>
      <c r="H41" s="1310"/>
      <c r="I41" s="1310"/>
      <c r="J41" s="1308"/>
      <c r="K41" s="1308"/>
      <c r="L41" s="70" t="s">
        <v>547</v>
      </c>
      <c r="M41" s="122">
        <f>30000+40000</f>
        <v>70000</v>
      </c>
      <c r="N41" s="124"/>
      <c r="O41" s="124"/>
      <c r="P41" s="959" t="s">
        <v>1009</v>
      </c>
      <c r="Q41" s="794"/>
      <c r="R41" s="500"/>
      <c r="S41" s="500"/>
      <c r="T41" s="124"/>
      <c r="U41" s="124"/>
      <c r="V41" s="124"/>
      <c r="X41" s="124"/>
      <c r="Y41" s="124"/>
      <c r="Z41" s="124"/>
      <c r="AA41" s="124"/>
      <c r="AB41" s="124"/>
      <c r="AC41" s="124"/>
      <c r="AD41" s="124"/>
      <c r="AE41" s="124"/>
    </row>
    <row r="42" spans="1:31" s="76" customFormat="1" ht="42">
      <c r="A42" s="244"/>
      <c r="B42" s="69"/>
      <c r="C42" s="199" t="s">
        <v>1022</v>
      </c>
      <c r="D42" s="693"/>
      <c r="E42" s="755"/>
      <c r="F42" s="693"/>
      <c r="G42" s="693"/>
      <c r="H42" s="693"/>
      <c r="I42" s="693"/>
      <c r="J42" s="250"/>
      <c r="K42" s="250"/>
      <c r="L42" s="100"/>
      <c r="M42" s="92"/>
      <c r="N42" s="73"/>
      <c r="O42" s="73"/>
      <c r="P42" s="73"/>
      <c r="Q42" s="795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1:31" s="514" customFormat="1" ht="165.75" customHeight="1">
      <c r="A43" s="746" t="s">
        <v>139</v>
      </c>
      <c r="B43" s="591" t="s">
        <v>140</v>
      </c>
      <c r="C43" s="591" t="s">
        <v>560</v>
      </c>
      <c r="D43" s="941" t="s">
        <v>652</v>
      </c>
      <c r="E43" s="653" t="s">
        <v>653</v>
      </c>
      <c r="F43" s="941" t="s">
        <v>654</v>
      </c>
      <c r="G43" s="941" t="s">
        <v>655</v>
      </c>
      <c r="H43" s="941" t="s">
        <v>611</v>
      </c>
      <c r="I43" s="941" t="s">
        <v>57</v>
      </c>
      <c r="J43" s="713" t="s">
        <v>878</v>
      </c>
      <c r="K43" s="591"/>
      <c r="L43" s="499" t="s">
        <v>854</v>
      </c>
      <c r="M43" s="602">
        <v>60000</v>
      </c>
      <c r="N43" s="529"/>
      <c r="O43" s="602" t="s">
        <v>1128</v>
      </c>
      <c r="P43" s="960">
        <v>23100</v>
      </c>
      <c r="Q43" s="796"/>
      <c r="R43" s="529" t="s">
        <v>1013</v>
      </c>
      <c r="S43" s="529"/>
      <c r="T43" s="529"/>
      <c r="U43" s="519"/>
      <c r="V43" s="519"/>
      <c r="W43" s="519">
        <v>60000</v>
      </c>
      <c r="X43" s="519"/>
      <c r="Y43" s="519"/>
      <c r="Z43" s="519"/>
      <c r="AA43" s="519"/>
      <c r="AB43" s="513"/>
      <c r="AC43" s="513"/>
      <c r="AD43" s="513"/>
      <c r="AE43" s="513"/>
    </row>
    <row r="44" spans="1:31" s="514" customFormat="1" ht="162">
      <c r="A44" s="746" t="s">
        <v>142</v>
      </c>
      <c r="B44" s="591" t="s">
        <v>140</v>
      </c>
      <c r="C44" s="591" t="s">
        <v>561</v>
      </c>
      <c r="D44" s="734" t="s">
        <v>652</v>
      </c>
      <c r="E44" s="653" t="s">
        <v>653</v>
      </c>
      <c r="F44" s="734" t="s">
        <v>654</v>
      </c>
      <c r="G44" s="734" t="s">
        <v>655</v>
      </c>
      <c r="H44" s="734" t="s">
        <v>611</v>
      </c>
      <c r="I44" s="734" t="s">
        <v>57</v>
      </c>
      <c r="J44" s="713"/>
      <c r="K44" s="591"/>
      <c r="L44" s="499" t="s">
        <v>854</v>
      </c>
      <c r="M44" s="602">
        <v>90000</v>
      </c>
      <c r="N44" s="529"/>
      <c r="O44" s="529" t="s">
        <v>1129</v>
      </c>
      <c r="P44" s="961">
        <v>20000</v>
      </c>
      <c r="Q44" s="797"/>
      <c r="R44" s="529" t="s">
        <v>1014</v>
      </c>
      <c r="S44" s="529"/>
      <c r="T44" s="529"/>
      <c r="U44" s="519"/>
      <c r="V44" s="519"/>
      <c r="W44" s="519">
        <v>90000</v>
      </c>
      <c r="X44" s="519"/>
      <c r="Y44" s="519"/>
      <c r="Z44" s="519"/>
      <c r="AA44" s="519"/>
      <c r="AB44" s="513"/>
      <c r="AC44" s="513"/>
      <c r="AD44" s="513"/>
      <c r="AE44" s="513"/>
    </row>
    <row r="45" spans="1:31" s="514" customFormat="1" ht="216">
      <c r="A45" s="746" t="s">
        <v>144</v>
      </c>
      <c r="B45" s="591" t="s">
        <v>140</v>
      </c>
      <c r="C45" s="591" t="s">
        <v>562</v>
      </c>
      <c r="D45" s="734"/>
      <c r="E45" s="653"/>
      <c r="F45" s="734"/>
      <c r="G45" s="734"/>
      <c r="H45" s="734"/>
      <c r="I45" s="734" t="s">
        <v>57</v>
      </c>
      <c r="J45" s="713"/>
      <c r="K45" s="591"/>
      <c r="L45" s="499" t="s">
        <v>854</v>
      </c>
      <c r="M45" s="602">
        <v>70000</v>
      </c>
      <c r="N45" s="529"/>
      <c r="O45" s="529" t="s">
        <v>1130</v>
      </c>
      <c r="P45" s="961">
        <v>50000</v>
      </c>
      <c r="Q45" s="797"/>
      <c r="R45" s="529" t="s">
        <v>1015</v>
      </c>
      <c r="S45" s="529"/>
      <c r="T45" s="529"/>
      <c r="U45" s="519"/>
      <c r="V45" s="519"/>
      <c r="W45" s="519">
        <v>70000</v>
      </c>
      <c r="X45" s="519"/>
      <c r="Y45" s="519"/>
      <c r="Z45" s="519"/>
      <c r="AA45" s="519"/>
      <c r="AB45" s="513"/>
      <c r="AC45" s="513"/>
      <c r="AD45" s="513"/>
      <c r="AE45" s="513"/>
    </row>
    <row r="46" spans="1:31" s="514" customFormat="1" ht="225.75" customHeight="1">
      <c r="A46" s="510" t="s">
        <v>146</v>
      </c>
      <c r="B46" s="581" t="s">
        <v>147</v>
      </c>
      <c r="C46" s="530" t="s">
        <v>148</v>
      </c>
      <c r="D46" s="657" t="s">
        <v>864</v>
      </c>
      <c r="E46" s="657" t="s">
        <v>600</v>
      </c>
      <c r="F46" s="657" t="s">
        <v>657</v>
      </c>
      <c r="G46" s="657" t="s">
        <v>657</v>
      </c>
      <c r="H46" s="657" t="s">
        <v>658</v>
      </c>
      <c r="I46" s="659" t="s">
        <v>57</v>
      </c>
      <c r="J46" s="713"/>
      <c r="K46" s="582"/>
      <c r="L46" s="499" t="s">
        <v>854</v>
      </c>
      <c r="M46" s="511">
        <v>120000</v>
      </c>
      <c r="N46" s="511"/>
      <c r="O46" s="511" t="s">
        <v>1131</v>
      </c>
      <c r="P46" s="962" t="s">
        <v>1052</v>
      </c>
      <c r="Q46" s="837"/>
      <c r="R46" s="511"/>
      <c r="S46" s="511"/>
      <c r="T46" s="513">
        <v>0</v>
      </c>
      <c r="U46" s="513">
        <v>0</v>
      </c>
      <c r="V46" s="513">
        <v>0</v>
      </c>
      <c r="W46" s="513">
        <v>120000</v>
      </c>
      <c r="X46" s="513">
        <v>0</v>
      </c>
      <c r="Y46" s="513">
        <f>SUM(V46:X46)</f>
        <v>120000</v>
      </c>
      <c r="Z46" s="513">
        <v>0</v>
      </c>
      <c r="AA46" s="513">
        <v>0</v>
      </c>
      <c r="AB46" s="513">
        <v>0</v>
      </c>
      <c r="AC46" s="513">
        <f>AA46+AB46</f>
        <v>0</v>
      </c>
      <c r="AD46" s="513"/>
      <c r="AE46" s="513">
        <v>0</v>
      </c>
    </row>
    <row r="47" spans="1:31" s="514" customFormat="1" ht="292.5" customHeight="1">
      <c r="A47" s="510" t="s">
        <v>157</v>
      </c>
      <c r="B47" s="581" t="s">
        <v>158</v>
      </c>
      <c r="C47" s="582" t="s">
        <v>659</v>
      </c>
      <c r="D47" s="657" t="s">
        <v>663</v>
      </c>
      <c r="E47" s="658" t="s">
        <v>664</v>
      </c>
      <c r="F47" s="657" t="s">
        <v>660</v>
      </c>
      <c r="G47" s="657" t="s">
        <v>661</v>
      </c>
      <c r="H47" s="657" t="s">
        <v>662</v>
      </c>
      <c r="I47" s="659" t="s">
        <v>57</v>
      </c>
      <c r="J47" s="713"/>
      <c r="K47" s="582"/>
      <c r="L47" s="499" t="s">
        <v>854</v>
      </c>
      <c r="M47" s="511">
        <v>130000</v>
      </c>
      <c r="N47" s="511"/>
      <c r="O47" s="511" t="s">
        <v>1132</v>
      </c>
      <c r="P47" s="478" t="s">
        <v>1049</v>
      </c>
      <c r="Q47" s="812"/>
      <c r="R47" s="511" t="s">
        <v>1193</v>
      </c>
      <c r="S47" s="511"/>
      <c r="T47" s="511"/>
      <c r="U47" s="512"/>
      <c r="V47" s="512">
        <v>16800</v>
      </c>
      <c r="W47" s="512">
        <v>112600</v>
      </c>
      <c r="X47" s="512">
        <v>600</v>
      </c>
      <c r="Y47" s="512">
        <f>SUM(V47:X47)</f>
        <v>130000</v>
      </c>
      <c r="Z47" s="512"/>
      <c r="AA47" s="512"/>
      <c r="AB47" s="513"/>
      <c r="AC47" s="513"/>
      <c r="AD47" s="513"/>
      <c r="AE47" s="513"/>
    </row>
    <row r="48" spans="1:31" s="514" customFormat="1" ht="254.25" customHeight="1">
      <c r="A48" s="517" t="s">
        <v>167</v>
      </c>
      <c r="B48" s="136" t="s">
        <v>140</v>
      </c>
      <c r="C48" s="136" t="s">
        <v>168</v>
      </c>
      <c r="D48" s="659" t="s">
        <v>665</v>
      </c>
      <c r="E48" s="662" t="s">
        <v>668</v>
      </c>
      <c r="F48" s="659" t="s">
        <v>666</v>
      </c>
      <c r="G48" s="659" t="s">
        <v>667</v>
      </c>
      <c r="H48" s="657" t="s">
        <v>662</v>
      </c>
      <c r="I48" s="659" t="s">
        <v>57</v>
      </c>
      <c r="J48" s="713"/>
      <c r="K48" s="136"/>
      <c r="L48" s="499" t="s">
        <v>854</v>
      </c>
      <c r="M48" s="529">
        <v>50000</v>
      </c>
      <c r="N48" s="529"/>
      <c r="O48" s="529" t="s">
        <v>1133</v>
      </c>
      <c r="P48" s="478" t="s">
        <v>1049</v>
      </c>
      <c r="Q48" s="812"/>
      <c r="R48" s="529" t="s">
        <v>1193</v>
      </c>
      <c r="S48" s="529"/>
      <c r="T48" s="529"/>
      <c r="U48" s="519"/>
      <c r="V48" s="519" t="s">
        <v>34</v>
      </c>
      <c r="W48" s="531">
        <v>50000</v>
      </c>
      <c r="X48" s="519" t="s">
        <v>34</v>
      </c>
      <c r="Y48" s="519">
        <f>SUM(V48:X48)</f>
        <v>50000</v>
      </c>
      <c r="Z48" s="519"/>
      <c r="AA48" s="519"/>
      <c r="AB48" s="513"/>
      <c r="AC48" s="513"/>
      <c r="AD48" s="513"/>
      <c r="AE48" s="513"/>
    </row>
    <row r="49" spans="1:31" s="76" customFormat="1" ht="363">
      <c r="A49" s="242" t="s">
        <v>169</v>
      </c>
      <c r="B49" s="70" t="s">
        <v>81</v>
      </c>
      <c r="C49" s="70" t="s">
        <v>170</v>
      </c>
      <c r="D49" s="732" t="s">
        <v>865</v>
      </c>
      <c r="E49" s="756" t="s">
        <v>866</v>
      </c>
      <c r="F49" s="732" t="s">
        <v>867</v>
      </c>
      <c r="G49" s="732" t="s">
        <v>868</v>
      </c>
      <c r="H49" s="732" t="s">
        <v>869</v>
      </c>
      <c r="I49" s="734" t="s">
        <v>57</v>
      </c>
      <c r="J49" s="713"/>
      <c r="K49" s="69"/>
      <c r="L49" s="499" t="s">
        <v>854</v>
      </c>
      <c r="M49" s="72">
        <v>80000</v>
      </c>
      <c r="N49" s="74"/>
      <c r="O49" s="74" t="s">
        <v>1134</v>
      </c>
      <c r="P49" s="511" t="s">
        <v>980</v>
      </c>
      <c r="Q49" s="787"/>
      <c r="R49" s="511" t="s">
        <v>34</v>
      </c>
      <c r="S49" s="74"/>
      <c r="T49" s="74"/>
      <c r="U49" s="75"/>
      <c r="V49" s="75"/>
      <c r="W49" s="75">
        <v>80000</v>
      </c>
      <c r="X49" s="75"/>
      <c r="Y49" s="75">
        <f>SUM(V49:X49)</f>
        <v>80000</v>
      </c>
      <c r="Z49" s="75"/>
      <c r="AA49" s="75"/>
      <c r="AB49" s="73"/>
      <c r="AC49" s="73"/>
      <c r="AD49" s="73"/>
      <c r="AE49" s="73"/>
    </row>
    <row r="50" spans="1:31" s="141" customFormat="1" ht="81">
      <c r="A50" s="746" t="s">
        <v>1135</v>
      </c>
      <c r="B50" s="591" t="s">
        <v>140</v>
      </c>
      <c r="C50" s="591" t="s">
        <v>1137</v>
      </c>
      <c r="D50" s="840" t="s">
        <v>34</v>
      </c>
      <c r="E50" s="653" t="s">
        <v>34</v>
      </c>
      <c r="F50" s="840" t="s">
        <v>34</v>
      </c>
      <c r="G50" s="840" t="s">
        <v>34</v>
      </c>
      <c r="H50" s="839" t="s">
        <v>34</v>
      </c>
      <c r="I50" s="840" t="s">
        <v>57</v>
      </c>
      <c r="J50" s="713"/>
      <c r="K50" s="591"/>
      <c r="L50" s="609" t="s">
        <v>846</v>
      </c>
      <c r="M50" s="100">
        <v>25000</v>
      </c>
      <c r="N50" s="100"/>
      <c r="O50" s="100">
        <v>19200</v>
      </c>
      <c r="P50" s="602"/>
      <c r="Q50" s="841"/>
      <c r="R50" s="602" t="s">
        <v>1136</v>
      </c>
      <c r="S50" s="100" t="s">
        <v>1194</v>
      </c>
      <c r="T50" s="897"/>
      <c r="U50" s="331"/>
      <c r="V50" s="331"/>
      <c r="W50" s="331"/>
      <c r="X50" s="331"/>
      <c r="Y50" s="331"/>
      <c r="Z50" s="331"/>
      <c r="AA50" s="331"/>
      <c r="AB50" s="385"/>
      <c r="AC50" s="385"/>
      <c r="AD50" s="385"/>
      <c r="AE50" s="386"/>
    </row>
    <row r="51" spans="1:31" s="35" customFormat="1" ht="26.25">
      <c r="A51" s="29" t="s">
        <v>174</v>
      </c>
      <c r="B51" s="30"/>
      <c r="C51" s="31"/>
      <c r="D51" s="650"/>
      <c r="E51" s="650"/>
      <c r="F51" s="650"/>
      <c r="G51" s="650"/>
      <c r="H51" s="650"/>
      <c r="I51" s="650"/>
      <c r="J51" s="713"/>
      <c r="K51" s="31"/>
      <c r="L51" s="31"/>
      <c r="M51" s="351">
        <f>M53+M71+M80</f>
        <v>4306100</v>
      </c>
      <c r="N51" s="351"/>
      <c r="O51" s="351"/>
      <c r="P51" s="351"/>
      <c r="Q51" s="779"/>
      <c r="R51" s="351"/>
      <c r="S51" s="901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174"/>
    </row>
    <row r="52" spans="1:31" s="179" customFormat="1" ht="23.25">
      <c r="A52" s="356" t="s">
        <v>550</v>
      </c>
      <c r="B52" s="176"/>
      <c r="C52" s="49"/>
      <c r="D52" s="664"/>
      <c r="E52" s="664"/>
      <c r="F52" s="664"/>
      <c r="G52" s="664"/>
      <c r="H52" s="664"/>
      <c r="I52" s="664"/>
      <c r="J52" s="713"/>
      <c r="K52" s="49"/>
      <c r="L52" s="49"/>
      <c r="M52" s="357">
        <f>M53+M63</f>
        <v>1903100</v>
      </c>
      <c r="N52" s="357"/>
      <c r="O52" s="357"/>
      <c r="P52" s="357"/>
      <c r="Q52" s="798"/>
      <c r="R52" s="357"/>
      <c r="S52" s="363"/>
      <c r="T52" s="357" t="s">
        <v>546</v>
      </c>
      <c r="U52" s="358" t="s">
        <v>34</v>
      </c>
      <c r="V52" s="358"/>
      <c r="W52" s="358"/>
      <c r="X52" s="358"/>
      <c r="Y52" s="358"/>
      <c r="Z52" s="358"/>
      <c r="AA52" s="358"/>
      <c r="AB52" s="358"/>
      <c r="AC52" s="358"/>
      <c r="AD52" s="358"/>
      <c r="AE52" s="359"/>
    </row>
    <row r="53" spans="1:31" s="58" customFormat="1" ht="23.25" customHeight="1">
      <c r="A53" s="1312" t="s">
        <v>180</v>
      </c>
      <c r="B53" s="1311" t="s">
        <v>41</v>
      </c>
      <c r="C53" s="1311" t="s">
        <v>179</v>
      </c>
      <c r="D53" s="1300" t="s">
        <v>1038</v>
      </c>
      <c r="E53" s="1302" t="s">
        <v>1039</v>
      </c>
      <c r="F53" s="1302" t="s">
        <v>1040</v>
      </c>
      <c r="G53" s="1304" t="s">
        <v>1243</v>
      </c>
      <c r="H53" s="1300" t="s">
        <v>625</v>
      </c>
      <c r="I53" s="1300" t="s">
        <v>624</v>
      </c>
      <c r="J53" s="1318" t="s">
        <v>878</v>
      </c>
      <c r="K53" s="1318"/>
      <c r="L53" s="55" t="s">
        <v>14</v>
      </c>
      <c r="M53" s="55">
        <f>T53+U53+Y53+Z53+AC53+AE53</f>
        <v>1736100</v>
      </c>
      <c r="N53" s="92">
        <f>T53+U53+Y53+Z53+AC53+AE53</f>
        <v>1736100</v>
      </c>
      <c r="O53" s="92">
        <f>U53+V53+Z53+AA53+AD53+AF53</f>
        <v>1705100</v>
      </c>
      <c r="P53" s="92">
        <f>V53+W53+AA53+AB53+AE53+AG53</f>
        <v>855600</v>
      </c>
      <c r="Q53" s="905"/>
      <c r="R53" s="55">
        <f>SUM(N53:P53)</f>
        <v>4296800</v>
      </c>
      <c r="S53" s="55"/>
      <c r="T53" s="56">
        <v>0</v>
      </c>
      <c r="U53" s="55">
        <v>959500</v>
      </c>
      <c r="V53" s="55">
        <v>597600</v>
      </c>
      <c r="W53" s="55">
        <v>158000</v>
      </c>
      <c r="X53" s="55">
        <v>40000</v>
      </c>
      <c r="Y53" s="55">
        <f>V53+W53+X53-M63</f>
        <v>628600</v>
      </c>
      <c r="Z53" s="55">
        <v>48000</v>
      </c>
      <c r="AA53" s="55">
        <v>100000</v>
      </c>
      <c r="AB53" s="55">
        <v>0</v>
      </c>
      <c r="AC53" s="55">
        <f>AA53+AB53</f>
        <v>100000</v>
      </c>
      <c r="AD53" s="55"/>
      <c r="AE53" s="55">
        <v>0</v>
      </c>
    </row>
    <row r="54" spans="1:31" s="141" customFormat="1" ht="22.5" customHeight="1">
      <c r="A54" s="1313"/>
      <c r="B54" s="1296"/>
      <c r="C54" s="1296"/>
      <c r="D54" s="1301"/>
      <c r="E54" s="1303"/>
      <c r="F54" s="1303"/>
      <c r="G54" s="1305"/>
      <c r="H54" s="1301"/>
      <c r="I54" s="1301"/>
      <c r="J54" s="1319"/>
      <c r="K54" s="1319"/>
      <c r="L54" s="500" t="s">
        <v>840</v>
      </c>
      <c r="M54" s="122">
        <v>0</v>
      </c>
      <c r="N54" s="902">
        <v>170235</v>
      </c>
      <c r="O54" s="903">
        <v>170235</v>
      </c>
      <c r="P54" s="122">
        <f>55974+55974+55974</f>
        <v>167922</v>
      </c>
      <c r="Q54" s="799"/>
      <c r="R54" s="122"/>
      <c r="S54" s="122"/>
      <c r="T54" s="608"/>
      <c r="U54" s="122"/>
      <c r="V54" s="122"/>
      <c r="W54" s="122"/>
      <c r="X54" s="122"/>
      <c r="Y54" s="122"/>
      <c r="Z54" s="122"/>
      <c r="AA54" s="122"/>
      <c r="AB54" s="92"/>
      <c r="AC54" s="92"/>
      <c r="AD54" s="92"/>
      <c r="AE54" s="92"/>
    </row>
    <row r="55" spans="1:31" s="141" customFormat="1" ht="23.25">
      <c r="A55" s="1313"/>
      <c r="B55" s="1296"/>
      <c r="C55" s="1296"/>
      <c r="D55" s="1301"/>
      <c r="E55" s="1303"/>
      <c r="F55" s="1303"/>
      <c r="G55" s="1305"/>
      <c r="H55" s="1301"/>
      <c r="I55" s="1301"/>
      <c r="J55" s="1319"/>
      <c r="K55" s="1319"/>
      <c r="L55" s="500" t="s">
        <v>230</v>
      </c>
      <c r="M55" s="55">
        <v>959500</v>
      </c>
      <c r="N55" s="902">
        <v>28473</v>
      </c>
      <c r="O55" s="902">
        <v>37964</v>
      </c>
      <c r="P55" s="389">
        <f>9110+9110+9110</f>
        <v>27330</v>
      </c>
      <c r="Q55" s="800"/>
      <c r="R55" s="389"/>
      <c r="S55" s="389"/>
      <c r="T55" s="608"/>
      <c r="U55" s="122"/>
      <c r="V55" s="122"/>
      <c r="W55" s="122"/>
      <c r="X55" s="122"/>
      <c r="Y55" s="122"/>
      <c r="Z55" s="122"/>
      <c r="AA55" s="122"/>
      <c r="AB55" s="92"/>
      <c r="AC55" s="92"/>
      <c r="AD55" s="92"/>
      <c r="AE55" s="92"/>
    </row>
    <row r="56" spans="1:31" s="612" customFormat="1" ht="23.25">
      <c r="A56" s="1313"/>
      <c r="B56" s="1296"/>
      <c r="C56" s="1296"/>
      <c r="D56" s="1301"/>
      <c r="E56" s="1303"/>
      <c r="F56" s="1303"/>
      <c r="G56" s="1305"/>
      <c r="H56" s="1301"/>
      <c r="I56" s="1301"/>
      <c r="J56" s="1320"/>
      <c r="K56" s="1320"/>
      <c r="L56" s="609" t="s">
        <v>846</v>
      </c>
      <c r="M56" s="610">
        <f>SUM(M57:M59)-M63</f>
        <v>628600</v>
      </c>
      <c r="N56" s="904">
        <f>SUM(N57:N59)</f>
        <v>174536</v>
      </c>
      <c r="O56" s="904">
        <f>SUM(O57:O59)</f>
        <v>186946.96000000002</v>
      </c>
      <c r="P56" s="610">
        <f>SUM(P57:P59)</f>
        <v>336223</v>
      </c>
      <c r="Q56" s="786"/>
      <c r="R56" s="610"/>
      <c r="S56" s="610"/>
      <c r="T56" s="611"/>
      <c r="U56" s="610"/>
      <c r="V56" s="610"/>
      <c r="W56" s="610"/>
      <c r="X56" s="610"/>
      <c r="Y56" s="610"/>
      <c r="Z56" s="610"/>
      <c r="AA56" s="610"/>
      <c r="AB56" s="601"/>
      <c r="AC56" s="601"/>
      <c r="AD56" s="601"/>
      <c r="AE56" s="601"/>
    </row>
    <row r="57" spans="1:31" s="612" customFormat="1" ht="21" customHeight="1">
      <c r="A57" s="975"/>
      <c r="B57" s="967"/>
      <c r="C57" s="967"/>
      <c r="D57" s="968" t="s">
        <v>1225</v>
      </c>
      <c r="E57" s="976" t="s">
        <v>1229</v>
      </c>
      <c r="F57" s="976" t="s">
        <v>1233</v>
      </c>
      <c r="G57" s="968" t="s">
        <v>1244</v>
      </c>
      <c r="H57" s="968"/>
      <c r="I57" s="968"/>
      <c r="J57" s="969"/>
      <c r="K57" s="969"/>
      <c r="L57" s="977" t="s">
        <v>843</v>
      </c>
      <c r="M57" s="970">
        <v>597600</v>
      </c>
      <c r="N57" s="971">
        <v>102450</v>
      </c>
      <c r="O57" s="971">
        <v>125285</v>
      </c>
      <c r="P57" s="610">
        <f>26600+18200+5600+94300+44800</f>
        <v>189500</v>
      </c>
      <c r="Q57" s="786"/>
      <c r="R57" s="970"/>
      <c r="S57" s="970"/>
      <c r="T57" s="611"/>
      <c r="U57" s="610"/>
      <c r="V57" s="610"/>
      <c r="W57" s="610"/>
      <c r="X57" s="610"/>
      <c r="Y57" s="610"/>
      <c r="Z57" s="610"/>
      <c r="AA57" s="610"/>
      <c r="AB57" s="601"/>
      <c r="AC57" s="601"/>
      <c r="AD57" s="601"/>
      <c r="AE57" s="601"/>
    </row>
    <row r="58" spans="1:31" s="612" customFormat="1" ht="21" customHeight="1">
      <c r="A58" s="975"/>
      <c r="B58" s="967"/>
      <c r="C58" s="967"/>
      <c r="D58" s="968" t="s">
        <v>1226</v>
      </c>
      <c r="E58" s="976" t="s">
        <v>1230</v>
      </c>
      <c r="F58" s="976" t="s">
        <v>1234</v>
      </c>
      <c r="G58" s="968" t="s">
        <v>1245</v>
      </c>
      <c r="H58" s="968"/>
      <c r="I58" s="968"/>
      <c r="J58" s="969"/>
      <c r="K58" s="969"/>
      <c r="L58" s="978" t="s">
        <v>844</v>
      </c>
      <c r="M58" s="45">
        <v>158000</v>
      </c>
      <c r="N58" s="971">
        <v>59900</v>
      </c>
      <c r="O58" s="971">
        <v>21817.759999999995</v>
      </c>
      <c r="P58" s="610">
        <f>381+381+381+1910+1910+1910+10330+54323+54323+19119+105</f>
        <v>145073</v>
      </c>
      <c r="Q58" s="786"/>
      <c r="R58" s="970"/>
      <c r="S58" s="970"/>
      <c r="T58" s="611"/>
      <c r="U58" s="610"/>
      <c r="V58" s="610"/>
      <c r="W58" s="610"/>
      <c r="X58" s="610"/>
      <c r="Y58" s="610"/>
      <c r="Z58" s="610"/>
      <c r="AA58" s="610"/>
      <c r="AB58" s="601"/>
      <c r="AC58" s="601"/>
      <c r="AD58" s="601"/>
      <c r="AE58" s="601"/>
    </row>
    <row r="59" spans="1:31" s="612" customFormat="1" ht="21" customHeight="1">
      <c r="A59" s="975"/>
      <c r="B59" s="967"/>
      <c r="C59" s="967"/>
      <c r="D59" s="968" t="s">
        <v>1227</v>
      </c>
      <c r="E59" s="976" t="s">
        <v>1231</v>
      </c>
      <c r="F59" s="976" t="s">
        <v>1235</v>
      </c>
      <c r="G59" s="966">
        <v>80</v>
      </c>
      <c r="H59" s="968"/>
      <c r="I59" s="968"/>
      <c r="J59" s="969"/>
      <c r="K59" s="969"/>
      <c r="L59" s="978" t="s">
        <v>845</v>
      </c>
      <c r="M59" s="45">
        <v>40000</v>
      </c>
      <c r="N59" s="971">
        <v>12186</v>
      </c>
      <c r="O59" s="971">
        <v>39844.199999999997</v>
      </c>
      <c r="P59" s="610">
        <v>1650</v>
      </c>
      <c r="Q59" s="786"/>
      <c r="R59" s="970"/>
      <c r="S59" s="970"/>
      <c r="T59" s="611"/>
      <c r="U59" s="610"/>
      <c r="V59" s="610"/>
      <c r="W59" s="610"/>
      <c r="X59" s="610"/>
      <c r="Y59" s="610"/>
      <c r="Z59" s="610"/>
      <c r="AA59" s="610"/>
      <c r="AB59" s="601"/>
      <c r="AC59" s="601"/>
      <c r="AD59" s="601"/>
      <c r="AE59" s="601"/>
    </row>
    <row r="60" spans="1:31" s="612" customFormat="1" ht="21" customHeight="1">
      <c r="A60" s="975"/>
      <c r="B60" s="967"/>
      <c r="C60" s="967"/>
      <c r="D60" s="968" t="s">
        <v>1228</v>
      </c>
      <c r="E60" s="976" t="s">
        <v>1232</v>
      </c>
      <c r="F60" s="976" t="s">
        <v>1236</v>
      </c>
      <c r="G60" s="968"/>
      <c r="H60" s="968"/>
      <c r="I60" s="968"/>
      <c r="J60" s="969"/>
      <c r="K60" s="969"/>
      <c r="L60" s="609" t="s">
        <v>841</v>
      </c>
      <c r="M60" s="45">
        <v>48000</v>
      </c>
      <c r="N60" s="904"/>
      <c r="O60" s="904"/>
      <c r="P60" s="970"/>
      <c r="Q60" s="972"/>
      <c r="R60" s="970"/>
      <c r="S60" s="970"/>
      <c r="T60" s="611"/>
      <c r="U60" s="610"/>
      <c r="V60" s="610"/>
      <c r="W60" s="610"/>
      <c r="X60" s="610"/>
      <c r="Y60" s="610"/>
      <c r="Z60" s="610"/>
      <c r="AA60" s="610"/>
      <c r="AB60" s="601"/>
      <c r="AC60" s="601"/>
      <c r="AD60" s="601"/>
      <c r="AE60" s="601"/>
    </row>
    <row r="61" spans="1:31" s="612" customFormat="1" ht="24" customHeight="1">
      <c r="A61" s="979"/>
      <c r="B61" s="980"/>
      <c r="C61" s="980"/>
      <c r="D61" s="981" t="s">
        <v>1241</v>
      </c>
      <c r="E61" s="982" t="s">
        <v>1239</v>
      </c>
      <c r="F61" s="982" t="s">
        <v>1237</v>
      </c>
      <c r="G61" s="981"/>
      <c r="H61" s="981"/>
      <c r="I61" s="981"/>
      <c r="J61" s="983"/>
      <c r="K61" s="983"/>
      <c r="L61" s="609" t="s">
        <v>235</v>
      </c>
      <c r="M61" s="45">
        <v>100000</v>
      </c>
      <c r="N61" s="973"/>
      <c r="O61" s="974">
        <v>7500</v>
      </c>
      <c r="P61" s="970"/>
      <c r="Q61" s="972"/>
      <c r="R61" s="970"/>
      <c r="S61" s="970"/>
      <c r="T61" s="611"/>
      <c r="U61" s="610"/>
      <c r="V61" s="610"/>
      <c r="W61" s="610"/>
      <c r="X61" s="610"/>
      <c r="Y61" s="610"/>
      <c r="Z61" s="610"/>
      <c r="AA61" s="610"/>
      <c r="AB61" s="601"/>
      <c r="AC61" s="601"/>
      <c r="AD61" s="601"/>
      <c r="AE61" s="601"/>
    </row>
    <row r="62" spans="1:31" s="141" customFormat="1" ht="72" customHeight="1">
      <c r="A62" s="407"/>
      <c r="B62" s="408"/>
      <c r="C62" s="408"/>
      <c r="D62" s="947" t="s">
        <v>1242</v>
      </c>
      <c r="E62" s="945" t="s">
        <v>1240</v>
      </c>
      <c r="F62" s="945" t="s">
        <v>1238</v>
      </c>
      <c r="G62" s="944"/>
      <c r="H62" s="731"/>
      <c r="I62" s="731"/>
      <c r="J62" s="728"/>
      <c r="K62" s="728"/>
      <c r="L62" s="500" t="s">
        <v>854</v>
      </c>
      <c r="M62" s="122">
        <v>0</v>
      </c>
      <c r="N62" s="122"/>
      <c r="O62" s="122"/>
      <c r="P62" s="122"/>
      <c r="Q62" s="799"/>
      <c r="R62" s="122"/>
      <c r="S62" s="122"/>
      <c r="T62" s="608"/>
      <c r="U62" s="122"/>
      <c r="V62" s="122"/>
      <c r="W62" s="122"/>
      <c r="X62" s="122"/>
      <c r="Y62" s="122"/>
      <c r="Z62" s="122"/>
      <c r="AA62" s="122"/>
      <c r="AB62" s="92"/>
      <c r="AC62" s="92"/>
      <c r="AD62" s="92"/>
      <c r="AE62" s="92"/>
    </row>
    <row r="63" spans="1:31" s="76" customFormat="1" ht="36">
      <c r="A63" s="66" t="s">
        <v>34</v>
      </c>
      <c r="B63" s="581" t="s">
        <v>181</v>
      </c>
      <c r="C63" s="390" t="s">
        <v>669</v>
      </c>
      <c r="D63" s="663"/>
      <c r="E63" s="665"/>
      <c r="F63" s="663"/>
      <c r="G63" s="663"/>
      <c r="H63" s="663"/>
      <c r="I63" s="652"/>
      <c r="J63" s="68"/>
      <c r="K63" s="68"/>
      <c r="L63" s="74"/>
      <c r="M63" s="74">
        <f>SUM(M64:M68)</f>
        <v>167000</v>
      </c>
      <c r="N63" s="74"/>
      <c r="O63" s="74"/>
      <c r="P63" s="74"/>
      <c r="Q63" s="790"/>
      <c r="R63" s="74"/>
      <c r="S63" s="74"/>
      <c r="T63" s="74"/>
      <c r="U63" s="75"/>
      <c r="V63" s="75"/>
      <c r="W63" s="75"/>
      <c r="X63" s="75"/>
      <c r="Y63" s="75" t="s">
        <v>34</v>
      </c>
      <c r="Z63" s="75"/>
      <c r="AA63" s="75"/>
      <c r="AB63" s="73"/>
      <c r="AC63" s="73"/>
      <c r="AD63" s="73"/>
      <c r="AE63" s="73"/>
    </row>
    <row r="64" spans="1:31" s="514" customFormat="1" ht="255" customHeight="1">
      <c r="A64" s="634" t="s">
        <v>183</v>
      </c>
      <c r="B64" s="581" t="s">
        <v>181</v>
      </c>
      <c r="C64" s="582" t="s">
        <v>184</v>
      </c>
      <c r="D64" s="657" t="s">
        <v>671</v>
      </c>
      <c r="E64" s="658" t="s">
        <v>672</v>
      </c>
      <c r="F64" s="657" t="s">
        <v>673</v>
      </c>
      <c r="G64" s="657" t="s">
        <v>674</v>
      </c>
      <c r="H64" s="657" t="s">
        <v>675</v>
      </c>
      <c r="I64" s="659" t="s">
        <v>50</v>
      </c>
      <c r="J64" s="623" t="s">
        <v>880</v>
      </c>
      <c r="K64" s="582"/>
      <c r="L64" s="499" t="s">
        <v>243</v>
      </c>
      <c r="M64" s="511">
        <v>10000</v>
      </c>
      <c r="N64" s="511"/>
      <c r="O64" s="511" t="s">
        <v>1138</v>
      </c>
      <c r="P64" s="478" t="s">
        <v>1049</v>
      </c>
      <c r="Q64" s="812"/>
      <c r="R64" s="511"/>
      <c r="S64" s="511"/>
      <c r="T64" s="511"/>
      <c r="U64" s="512"/>
      <c r="V64" s="512">
        <v>0</v>
      </c>
      <c r="W64" s="512">
        <v>9750</v>
      </c>
      <c r="X64" s="512">
        <v>250</v>
      </c>
      <c r="Y64" s="512">
        <f>SUM(V64:X64)</f>
        <v>10000</v>
      </c>
      <c r="Z64" s="512"/>
      <c r="AA64" s="512"/>
      <c r="AB64" s="513"/>
      <c r="AC64" s="513"/>
      <c r="AD64" s="513"/>
      <c r="AE64" s="513"/>
    </row>
    <row r="65" spans="1:31" s="514" customFormat="1" ht="180">
      <c r="A65" s="634" t="s">
        <v>968</v>
      </c>
      <c r="B65" s="581" t="s">
        <v>181</v>
      </c>
      <c r="C65" s="582" t="s">
        <v>187</v>
      </c>
      <c r="D65" s="657" t="s">
        <v>676</v>
      </c>
      <c r="E65" s="658" t="s">
        <v>677</v>
      </c>
      <c r="F65" s="657" t="s">
        <v>678</v>
      </c>
      <c r="G65" s="657" t="s">
        <v>679</v>
      </c>
      <c r="H65" s="657" t="s">
        <v>680</v>
      </c>
      <c r="I65" s="659" t="s">
        <v>34</v>
      </c>
      <c r="J65" s="623" t="s">
        <v>880</v>
      </c>
      <c r="K65" s="582"/>
      <c r="L65" s="499" t="s">
        <v>243</v>
      </c>
      <c r="M65" s="511">
        <v>50000</v>
      </c>
      <c r="N65" s="511"/>
      <c r="O65" s="511" t="s">
        <v>1139</v>
      </c>
      <c r="P65" s="478" t="s">
        <v>1049</v>
      </c>
      <c r="Q65" s="812"/>
      <c r="R65" s="511"/>
      <c r="S65" s="511"/>
      <c r="T65" s="511"/>
      <c r="U65" s="512"/>
      <c r="V65" s="512">
        <v>5000</v>
      </c>
      <c r="W65" s="512">
        <v>39600</v>
      </c>
      <c r="X65" s="512">
        <v>5400</v>
      </c>
      <c r="Y65" s="512">
        <f>SUM(V65:X65)</f>
        <v>50000</v>
      </c>
      <c r="Z65" s="512"/>
      <c r="AA65" s="512"/>
      <c r="AB65" s="513"/>
      <c r="AC65" s="513"/>
      <c r="AD65" s="513"/>
      <c r="AE65" s="513"/>
    </row>
    <row r="66" spans="1:31" s="514" customFormat="1" ht="258.75" customHeight="1">
      <c r="A66" s="510" t="s">
        <v>194</v>
      </c>
      <c r="B66" s="581" t="s">
        <v>181</v>
      </c>
      <c r="C66" s="582" t="s">
        <v>670</v>
      </c>
      <c r="D66" s="657" t="s">
        <v>681</v>
      </c>
      <c r="E66" s="658" t="s">
        <v>682</v>
      </c>
      <c r="F66" s="657" t="s">
        <v>683</v>
      </c>
      <c r="G66" s="657" t="s">
        <v>684</v>
      </c>
      <c r="H66" s="657" t="s">
        <v>685</v>
      </c>
      <c r="I66" s="659"/>
      <c r="J66" s="623" t="s">
        <v>880</v>
      </c>
      <c r="K66" s="582"/>
      <c r="L66" s="499" t="s">
        <v>243</v>
      </c>
      <c r="M66" s="511">
        <v>30000</v>
      </c>
      <c r="N66" s="511"/>
      <c r="O66" s="511" t="s">
        <v>1140</v>
      </c>
      <c r="P66" s="478" t="s">
        <v>1049</v>
      </c>
      <c r="Q66" s="812"/>
      <c r="R66" s="511"/>
      <c r="S66" s="511"/>
      <c r="T66" s="511"/>
      <c r="U66" s="512"/>
      <c r="V66" s="512">
        <v>0</v>
      </c>
      <c r="W66" s="512">
        <v>30000</v>
      </c>
      <c r="X66" s="512">
        <v>0</v>
      </c>
      <c r="Y66" s="512">
        <f>SUM(V66:X66)</f>
        <v>30000</v>
      </c>
      <c r="Z66" s="512"/>
      <c r="AA66" s="512"/>
      <c r="AB66" s="513"/>
      <c r="AC66" s="513"/>
      <c r="AD66" s="513"/>
      <c r="AE66" s="513"/>
    </row>
    <row r="67" spans="1:31" s="514" customFormat="1" ht="276" customHeight="1">
      <c r="A67" s="510" t="s">
        <v>200</v>
      </c>
      <c r="B67" s="581" t="s">
        <v>181</v>
      </c>
      <c r="C67" s="582" t="s">
        <v>201</v>
      </c>
      <c r="D67" s="657" t="s">
        <v>686</v>
      </c>
      <c r="E67" s="658" t="s">
        <v>687</v>
      </c>
      <c r="F67" s="657" t="s">
        <v>688</v>
      </c>
      <c r="G67" s="657" t="s">
        <v>689</v>
      </c>
      <c r="H67" s="657" t="s">
        <v>680</v>
      </c>
      <c r="I67" s="659"/>
      <c r="J67" s="623" t="s">
        <v>880</v>
      </c>
      <c r="K67" s="582"/>
      <c r="L67" s="499" t="s">
        <v>243</v>
      </c>
      <c r="M67" s="511">
        <v>50000</v>
      </c>
      <c r="N67" s="511"/>
      <c r="O67" s="511" t="s">
        <v>1140</v>
      </c>
      <c r="P67" s="478" t="s">
        <v>1049</v>
      </c>
      <c r="Q67" s="812"/>
      <c r="R67" s="511"/>
      <c r="S67" s="511"/>
      <c r="T67" s="511"/>
      <c r="U67" s="512"/>
      <c r="V67" s="512">
        <v>3600</v>
      </c>
      <c r="W67" s="512">
        <v>46400</v>
      </c>
      <c r="X67" s="512">
        <v>0</v>
      </c>
      <c r="Y67" s="512">
        <f>SUM(V67:X67)</f>
        <v>50000</v>
      </c>
      <c r="Z67" s="512"/>
      <c r="AA67" s="512"/>
      <c r="AB67" s="513"/>
      <c r="AC67" s="513"/>
      <c r="AD67" s="513"/>
      <c r="AE67" s="513"/>
    </row>
    <row r="68" spans="1:31" s="514" customFormat="1" ht="274.5" customHeight="1">
      <c r="A68" s="510" t="s">
        <v>208</v>
      </c>
      <c r="B68" s="581" t="s">
        <v>181</v>
      </c>
      <c r="C68" s="582" t="s">
        <v>209</v>
      </c>
      <c r="D68" s="657" t="s">
        <v>690</v>
      </c>
      <c r="E68" s="658" t="s">
        <v>691</v>
      </c>
      <c r="F68" s="657" t="s">
        <v>692</v>
      </c>
      <c r="G68" s="657" t="s">
        <v>693</v>
      </c>
      <c r="H68" s="657" t="s">
        <v>694</v>
      </c>
      <c r="I68" s="659"/>
      <c r="J68" s="623" t="s">
        <v>880</v>
      </c>
      <c r="K68" s="582"/>
      <c r="L68" s="499" t="s">
        <v>243</v>
      </c>
      <c r="M68" s="511">
        <v>27000</v>
      </c>
      <c r="N68" s="511"/>
      <c r="O68" s="511" t="s">
        <v>1141</v>
      </c>
      <c r="P68" s="478" t="s">
        <v>1049</v>
      </c>
      <c r="Q68" s="812"/>
      <c r="R68" s="511"/>
      <c r="S68" s="511"/>
      <c r="T68" s="511"/>
      <c r="U68" s="512"/>
      <c r="V68" s="512">
        <v>0</v>
      </c>
      <c r="W68" s="512">
        <v>25750</v>
      </c>
      <c r="X68" s="512">
        <v>1250</v>
      </c>
      <c r="Y68" s="512">
        <f>SUM(V68:X68)</f>
        <v>27000</v>
      </c>
      <c r="Z68" s="512"/>
      <c r="AA68" s="512"/>
      <c r="AB68" s="513"/>
      <c r="AC68" s="513"/>
      <c r="AD68" s="513"/>
      <c r="AE68" s="513"/>
    </row>
    <row r="69" spans="1:31" s="514" customFormat="1" ht="114.75" customHeight="1">
      <c r="A69" s="909" t="s">
        <v>1142</v>
      </c>
      <c r="B69" s="910" t="s">
        <v>577</v>
      </c>
      <c r="C69" s="911" t="s">
        <v>1143</v>
      </c>
      <c r="D69" s="900" t="s">
        <v>34</v>
      </c>
      <c r="E69" s="912" t="s">
        <v>34</v>
      </c>
      <c r="F69" s="900" t="s">
        <v>34</v>
      </c>
      <c r="G69" s="900" t="s">
        <v>34</v>
      </c>
      <c r="H69" s="900" t="s">
        <v>34</v>
      </c>
      <c r="I69" s="697"/>
      <c r="J69" s="911" t="s">
        <v>34</v>
      </c>
      <c r="K69" s="911"/>
      <c r="L69" s="569" t="s">
        <v>243</v>
      </c>
      <c r="M69" s="738">
        <v>68000</v>
      </c>
      <c r="N69" s="529"/>
      <c r="O69" s="529" t="s">
        <v>1144</v>
      </c>
      <c r="P69" s="479"/>
      <c r="Q69" s="813"/>
      <c r="R69" s="529"/>
      <c r="S69" s="529"/>
      <c r="T69" s="898"/>
      <c r="U69" s="906"/>
      <c r="V69" s="906"/>
      <c r="W69" s="906"/>
      <c r="X69" s="906"/>
      <c r="Y69" s="906"/>
      <c r="Z69" s="906"/>
      <c r="AA69" s="906"/>
      <c r="AB69" s="907"/>
      <c r="AC69" s="907"/>
      <c r="AD69" s="907"/>
      <c r="AE69" s="908"/>
    </row>
    <row r="70" spans="1:31" s="179" customFormat="1" ht="23.25">
      <c r="A70" s="356" t="s">
        <v>551</v>
      </c>
      <c r="B70" s="176"/>
      <c r="C70" s="49"/>
      <c r="D70" s="664"/>
      <c r="E70" s="664"/>
      <c r="F70" s="664"/>
      <c r="G70" s="664"/>
      <c r="H70" s="664"/>
      <c r="I70" s="664"/>
      <c r="J70" s="49"/>
      <c r="K70" s="49"/>
      <c r="L70" s="49"/>
      <c r="M70" s="357">
        <f>470000+2100000</f>
        <v>2570000</v>
      </c>
      <c r="N70" s="357"/>
      <c r="O70" s="357"/>
      <c r="P70" s="357"/>
      <c r="Q70" s="798"/>
      <c r="R70" s="357"/>
      <c r="S70" s="357"/>
      <c r="T70" s="391" t="s">
        <v>546</v>
      </c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9"/>
    </row>
    <row r="71" spans="1:31" s="58" customFormat="1" ht="72" customHeight="1">
      <c r="A71" s="1312" t="s">
        <v>218</v>
      </c>
      <c r="B71" s="1315" t="s">
        <v>41</v>
      </c>
      <c r="C71" s="1315" t="s">
        <v>219</v>
      </c>
      <c r="D71" s="1304" t="s">
        <v>619</v>
      </c>
      <c r="E71" s="1345" t="s">
        <v>970</v>
      </c>
      <c r="F71" s="1302" t="s">
        <v>971</v>
      </c>
      <c r="G71" s="1304" t="s">
        <v>620</v>
      </c>
      <c r="H71" s="1304" t="s">
        <v>621</v>
      </c>
      <c r="I71" s="1304" t="s">
        <v>57</v>
      </c>
      <c r="J71" s="1347" t="s">
        <v>879</v>
      </c>
      <c r="K71" s="1347"/>
      <c r="L71" s="55" t="s">
        <v>14</v>
      </c>
      <c r="M71" s="256">
        <f>T71+U71+Y71+Z71+AC71+AE71</f>
        <v>470000</v>
      </c>
      <c r="N71" s="256">
        <f>N72+N73+N74+N78+N79</f>
        <v>129286</v>
      </c>
      <c r="O71" s="256">
        <f>O72+O73+O74+O78+O79</f>
        <v>100217</v>
      </c>
      <c r="P71" s="256">
        <f>P72+P73+P74+P78+P79</f>
        <v>85494</v>
      </c>
      <c r="Q71" s="801"/>
      <c r="R71" s="256"/>
      <c r="S71" s="256"/>
      <c r="T71" s="55">
        <v>352100</v>
      </c>
      <c r="U71" s="55">
        <v>0</v>
      </c>
      <c r="V71" s="55">
        <v>8000</v>
      </c>
      <c r="W71" s="55">
        <v>15000</v>
      </c>
      <c r="X71" s="55">
        <v>44900</v>
      </c>
      <c r="Y71" s="55">
        <f>SUM(V71:X71)</f>
        <v>67900</v>
      </c>
      <c r="Z71" s="55">
        <v>0</v>
      </c>
      <c r="AA71" s="55">
        <v>0</v>
      </c>
      <c r="AB71" s="55">
        <v>0</v>
      </c>
      <c r="AC71" s="55">
        <f>AA71+AB71</f>
        <v>0</v>
      </c>
      <c r="AD71" s="55"/>
      <c r="AE71" s="55">
        <v>50000</v>
      </c>
    </row>
    <row r="72" spans="1:31" s="58" customFormat="1">
      <c r="A72" s="1313"/>
      <c r="B72" s="1316"/>
      <c r="C72" s="1316"/>
      <c r="D72" s="1305"/>
      <c r="E72" s="1346"/>
      <c r="F72" s="1303"/>
      <c r="G72" s="1305"/>
      <c r="H72" s="1305"/>
      <c r="I72" s="1305"/>
      <c r="J72" s="1348"/>
      <c r="K72" s="1348"/>
      <c r="L72" s="500" t="s">
        <v>840</v>
      </c>
      <c r="M72" s="55">
        <v>352100</v>
      </c>
      <c r="N72" s="55">
        <v>87126</v>
      </c>
      <c r="O72" s="55">
        <v>87126</v>
      </c>
      <c r="P72" s="55">
        <f>88431-979-979-979</f>
        <v>85494</v>
      </c>
      <c r="Q72" s="781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</row>
    <row r="73" spans="1:31" s="58" customFormat="1">
      <c r="A73" s="1313"/>
      <c r="B73" s="1316"/>
      <c r="C73" s="1316"/>
      <c r="D73" s="1305"/>
      <c r="E73" s="1346"/>
      <c r="F73" s="1303"/>
      <c r="G73" s="1305"/>
      <c r="H73" s="1305"/>
      <c r="I73" s="1305"/>
      <c r="J73" s="1348"/>
      <c r="K73" s="1348"/>
      <c r="L73" s="500" t="s">
        <v>230</v>
      </c>
      <c r="M73" s="55">
        <v>0</v>
      </c>
      <c r="N73" s="55"/>
      <c r="O73" s="55"/>
      <c r="P73" s="55"/>
      <c r="Q73" s="781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</row>
    <row r="74" spans="1:31" s="58" customFormat="1">
      <c r="A74" s="1313"/>
      <c r="B74" s="1316"/>
      <c r="C74" s="1316"/>
      <c r="D74" s="1305"/>
      <c r="E74" s="1346"/>
      <c r="F74" s="1303"/>
      <c r="G74" s="1305"/>
      <c r="H74" s="1305"/>
      <c r="I74" s="1305"/>
      <c r="J74" s="1348"/>
      <c r="K74" s="1348"/>
      <c r="L74" s="609" t="s">
        <v>846</v>
      </c>
      <c r="M74" s="256"/>
      <c r="N74" s="256">
        <f>SUM(N75:N77)</f>
        <v>42160</v>
      </c>
      <c r="O74" s="256">
        <f>SUM(O75:O77)</f>
        <v>13091</v>
      </c>
      <c r="P74" s="256"/>
      <c r="Q74" s="801"/>
      <c r="R74" s="256"/>
      <c r="S74" s="25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</row>
    <row r="75" spans="1:31" s="58" customFormat="1">
      <c r="A75" s="1313"/>
      <c r="B75" s="1316"/>
      <c r="C75" s="1316"/>
      <c r="D75" s="1305"/>
      <c r="E75" s="1346"/>
      <c r="F75" s="1303"/>
      <c r="G75" s="1305"/>
      <c r="H75" s="1305"/>
      <c r="I75" s="1305"/>
      <c r="J75" s="1348"/>
      <c r="K75" s="1348"/>
      <c r="L75" s="597" t="s">
        <v>843</v>
      </c>
      <c r="M75" s="55">
        <v>8000</v>
      </c>
      <c r="N75" s="72">
        <v>25500</v>
      </c>
      <c r="O75" s="256">
        <v>0</v>
      </c>
      <c r="P75" s="55">
        <f>4500+1500</f>
        <v>6000</v>
      </c>
      <c r="Q75" s="781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</row>
    <row r="76" spans="1:31" s="58" customFormat="1">
      <c r="A76" s="1313"/>
      <c r="B76" s="1316"/>
      <c r="C76" s="1316"/>
      <c r="D76" s="1305"/>
      <c r="E76" s="1346"/>
      <c r="F76" s="1303"/>
      <c r="G76" s="1305"/>
      <c r="H76" s="1305"/>
      <c r="I76" s="1305"/>
      <c r="J76" s="1348"/>
      <c r="K76" s="1348"/>
      <c r="L76" s="597" t="s">
        <v>844</v>
      </c>
      <c r="M76" s="55">
        <v>15000</v>
      </c>
      <c r="N76" s="72">
        <v>13252</v>
      </c>
      <c r="O76" s="256">
        <v>9730</v>
      </c>
      <c r="P76" s="55">
        <f>19588+979+979+979</f>
        <v>22525</v>
      </c>
      <c r="Q76" s="781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31" s="58" customFormat="1">
      <c r="A77" s="1313"/>
      <c r="B77" s="1316"/>
      <c r="C77" s="1316"/>
      <c r="D77" s="1305"/>
      <c r="E77" s="1303" t="s">
        <v>969</v>
      </c>
      <c r="F77" s="1303" t="s">
        <v>972</v>
      </c>
      <c r="G77" s="1305"/>
      <c r="H77" s="1305"/>
      <c r="I77" s="1305"/>
      <c r="J77" s="1348"/>
      <c r="K77" s="1348"/>
      <c r="L77" s="597" t="s">
        <v>845</v>
      </c>
      <c r="M77" s="55">
        <v>44900</v>
      </c>
      <c r="N77" s="72">
        <v>3408</v>
      </c>
      <c r="O77" s="256">
        <v>3361</v>
      </c>
      <c r="P77" s="55">
        <f>2856+3355</f>
        <v>6211</v>
      </c>
      <c r="Q77" s="781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</row>
    <row r="78" spans="1:31" s="58" customFormat="1">
      <c r="A78" s="1313"/>
      <c r="B78" s="1316"/>
      <c r="C78" s="1316"/>
      <c r="D78" s="1305"/>
      <c r="E78" s="1303"/>
      <c r="F78" s="1303"/>
      <c r="G78" s="1305"/>
      <c r="H78" s="1305"/>
      <c r="I78" s="1305"/>
      <c r="J78" s="1348"/>
      <c r="K78" s="1348"/>
      <c r="L78" s="500" t="s">
        <v>841</v>
      </c>
      <c r="M78" s="256"/>
      <c r="N78" s="256"/>
      <c r="O78" s="256"/>
      <c r="P78" s="256"/>
      <c r="Q78" s="801"/>
      <c r="R78" s="256"/>
      <c r="S78" s="25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</row>
    <row r="79" spans="1:31" s="58" customFormat="1" ht="96" customHeight="1">
      <c r="A79" s="1314"/>
      <c r="B79" s="1317"/>
      <c r="C79" s="1317"/>
      <c r="D79" s="1310"/>
      <c r="E79" s="1309"/>
      <c r="F79" s="1309"/>
      <c r="G79" s="1310"/>
      <c r="H79" s="1310"/>
      <c r="I79" s="1310"/>
      <c r="J79" s="1349"/>
      <c r="K79" s="1349"/>
      <c r="L79" s="500" t="s">
        <v>854</v>
      </c>
      <c r="M79" s="55">
        <v>50000</v>
      </c>
      <c r="N79" s="55"/>
      <c r="O79" s="55"/>
      <c r="P79" s="55"/>
      <c r="Q79" s="781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</row>
    <row r="80" spans="1:31" s="58" customFormat="1" ht="21" customHeight="1">
      <c r="A80" s="948" t="s">
        <v>228</v>
      </c>
      <c r="B80" s="984" t="s">
        <v>55</v>
      </c>
      <c r="C80" s="951" t="s">
        <v>229</v>
      </c>
      <c r="D80" s="942" t="s">
        <v>1246</v>
      </c>
      <c r="E80" s="942" t="s">
        <v>1253</v>
      </c>
      <c r="F80" s="942" t="s">
        <v>1262</v>
      </c>
      <c r="G80" s="942" t="s">
        <v>1268</v>
      </c>
      <c r="H80" s="942" t="s">
        <v>623</v>
      </c>
      <c r="I80" s="942" t="s">
        <v>1270</v>
      </c>
      <c r="J80" s="1344" t="s">
        <v>879</v>
      </c>
      <c r="K80" s="1344"/>
      <c r="L80" s="55" t="s">
        <v>14</v>
      </c>
      <c r="M80" s="256">
        <f>M81+M82+M83+M87+M88+M89</f>
        <v>2100000</v>
      </c>
      <c r="N80" s="256"/>
      <c r="O80" s="256"/>
      <c r="P80" s="256"/>
      <c r="Q80" s="801"/>
      <c r="R80" s="515" t="s">
        <v>1145</v>
      </c>
      <c r="S80" s="256"/>
      <c r="T80" s="202">
        <v>0</v>
      </c>
      <c r="U80" s="202">
        <v>236000</v>
      </c>
      <c r="V80" s="366">
        <v>500000</v>
      </c>
      <c r="W80" s="366">
        <v>720000</v>
      </c>
      <c r="X80" s="366">
        <v>475000</v>
      </c>
      <c r="Y80" s="366">
        <f>V80+W80+X80</f>
        <v>1695000</v>
      </c>
      <c r="Z80" s="366">
        <v>10000</v>
      </c>
      <c r="AA80" s="366">
        <v>50000</v>
      </c>
      <c r="AB80" s="55">
        <v>0</v>
      </c>
      <c r="AC80" s="55">
        <f>AA80+AB80</f>
        <v>50000</v>
      </c>
      <c r="AD80" s="55"/>
      <c r="AE80" s="55">
        <v>109000</v>
      </c>
    </row>
    <row r="81" spans="1:31" s="58" customFormat="1">
      <c r="A81" s="949"/>
      <c r="B81" s="532"/>
      <c r="C81" s="952"/>
      <c r="D81" s="943" t="s">
        <v>1247</v>
      </c>
      <c r="E81" s="943" t="s">
        <v>1254</v>
      </c>
      <c r="F81" s="943" t="s">
        <v>1263</v>
      </c>
      <c r="G81" s="943" t="s">
        <v>1269</v>
      </c>
      <c r="H81" s="943"/>
      <c r="I81" s="943" t="s">
        <v>1271</v>
      </c>
      <c r="J81" s="1344"/>
      <c r="K81" s="1344"/>
      <c r="L81" s="500" t="s">
        <v>840</v>
      </c>
      <c r="M81" s="602">
        <v>0</v>
      </c>
      <c r="N81" s="202"/>
      <c r="O81" s="202"/>
      <c r="P81" s="202"/>
      <c r="Q81" s="802"/>
      <c r="R81" s="602" t="s">
        <v>1146</v>
      </c>
      <c r="S81" s="202"/>
      <c r="T81" s="202"/>
      <c r="U81" s="202"/>
      <c r="V81" s="366"/>
      <c r="W81" s="366"/>
      <c r="X81" s="366"/>
      <c r="Y81" s="366"/>
      <c r="Z81" s="366"/>
      <c r="AA81" s="366"/>
      <c r="AB81" s="55"/>
      <c r="AC81" s="55"/>
      <c r="AD81" s="55"/>
      <c r="AE81" s="55"/>
    </row>
    <row r="82" spans="1:31" s="58" customFormat="1">
      <c r="A82" s="950"/>
      <c r="B82" s="564"/>
      <c r="C82" s="953"/>
      <c r="D82" s="944" t="s">
        <v>1248</v>
      </c>
      <c r="E82" s="944" t="s">
        <v>1255</v>
      </c>
      <c r="F82" s="944" t="s">
        <v>1264</v>
      </c>
      <c r="G82" s="944" t="s">
        <v>623</v>
      </c>
      <c r="H82" s="944"/>
      <c r="I82" s="944" t="s">
        <v>1272</v>
      </c>
      <c r="J82" s="1344"/>
      <c r="K82" s="1344"/>
      <c r="L82" s="500" t="s">
        <v>230</v>
      </c>
      <c r="M82" s="602">
        <v>236000</v>
      </c>
      <c r="N82" s="202"/>
      <c r="O82" s="202"/>
      <c r="P82" s="202"/>
      <c r="Q82" s="802"/>
      <c r="R82" s="202"/>
      <c r="S82" s="202"/>
      <c r="T82" s="202"/>
      <c r="U82" s="202"/>
      <c r="V82" s="366"/>
      <c r="W82" s="366"/>
      <c r="X82" s="366"/>
      <c r="Y82" s="366"/>
      <c r="Z82" s="366"/>
      <c r="AA82" s="366"/>
      <c r="AB82" s="55"/>
      <c r="AC82" s="55"/>
      <c r="AD82" s="55"/>
      <c r="AE82" s="55"/>
    </row>
    <row r="83" spans="1:31" s="58" customFormat="1">
      <c r="A83" s="949"/>
      <c r="B83" s="532"/>
      <c r="C83" s="952"/>
      <c r="D83" s="943" t="s">
        <v>1249</v>
      </c>
      <c r="E83" s="943" t="s">
        <v>1256</v>
      </c>
      <c r="F83" s="943" t="s">
        <v>1265</v>
      </c>
      <c r="G83" s="943"/>
      <c r="H83" s="943"/>
      <c r="I83" s="946">
        <v>2554</v>
      </c>
      <c r="J83" s="1344"/>
      <c r="K83" s="1344"/>
      <c r="L83" s="709" t="s">
        <v>846</v>
      </c>
      <c r="M83" s="602">
        <f>SUM(M84:M86)</f>
        <v>1695000</v>
      </c>
      <c r="N83" s="202"/>
      <c r="O83" s="202"/>
      <c r="P83" s="202"/>
      <c r="Q83" s="802"/>
      <c r="R83" s="202"/>
      <c r="S83" s="202"/>
      <c r="T83" s="202"/>
      <c r="U83" s="202"/>
      <c r="V83" s="366"/>
      <c r="W83" s="366"/>
      <c r="X83" s="366"/>
      <c r="Y83" s="366"/>
      <c r="Z83" s="366"/>
      <c r="AA83" s="366"/>
      <c r="AB83" s="55"/>
      <c r="AC83" s="55"/>
      <c r="AD83" s="55"/>
      <c r="AE83" s="55"/>
    </row>
    <row r="84" spans="1:31" s="58" customFormat="1">
      <c r="A84" s="949"/>
      <c r="B84" s="532"/>
      <c r="C84" s="952"/>
      <c r="D84" s="943" t="s">
        <v>1250</v>
      </c>
      <c r="E84" s="943" t="s">
        <v>1257</v>
      </c>
      <c r="F84" s="943" t="s">
        <v>1266</v>
      </c>
      <c r="G84" s="943"/>
      <c r="H84" s="943"/>
      <c r="I84" s="943"/>
      <c r="J84" s="1344"/>
      <c r="K84" s="1344"/>
      <c r="L84" s="597" t="s">
        <v>843</v>
      </c>
      <c r="M84" s="603">
        <v>500000</v>
      </c>
      <c r="N84" s="202"/>
      <c r="O84" s="202"/>
      <c r="P84" s="202"/>
      <c r="Q84" s="802"/>
      <c r="R84" s="202"/>
      <c r="S84" s="202"/>
      <c r="T84" s="202"/>
      <c r="U84" s="202"/>
      <c r="V84" s="366"/>
      <c r="W84" s="366"/>
      <c r="X84" s="366"/>
      <c r="Y84" s="366"/>
      <c r="Z84" s="366"/>
      <c r="AA84" s="366"/>
      <c r="AB84" s="55"/>
      <c r="AC84" s="55"/>
      <c r="AD84" s="55"/>
      <c r="AE84" s="55"/>
    </row>
    <row r="85" spans="1:31" s="58" customFormat="1">
      <c r="A85" s="949"/>
      <c r="B85" s="532"/>
      <c r="C85" s="952"/>
      <c r="D85" s="943" t="s">
        <v>1251</v>
      </c>
      <c r="E85" s="943" t="s">
        <v>1258</v>
      </c>
      <c r="F85" s="943" t="s">
        <v>1267</v>
      </c>
      <c r="G85" s="943"/>
      <c r="H85" s="943"/>
      <c r="I85" s="943"/>
      <c r="J85" s="1344"/>
      <c r="K85" s="1344"/>
      <c r="L85" s="597" t="s">
        <v>844</v>
      </c>
      <c r="M85" s="603">
        <v>720000</v>
      </c>
      <c r="N85" s="202"/>
      <c r="O85" s="202"/>
      <c r="P85" s="202"/>
      <c r="Q85" s="802"/>
      <c r="R85" s="202"/>
      <c r="S85" s="202"/>
      <c r="T85" s="202"/>
      <c r="U85" s="202"/>
      <c r="V85" s="366"/>
      <c r="W85" s="366"/>
      <c r="X85" s="366"/>
      <c r="Y85" s="366"/>
      <c r="Z85" s="366"/>
      <c r="AA85" s="366"/>
      <c r="AB85" s="55"/>
      <c r="AC85" s="55"/>
      <c r="AD85" s="55"/>
      <c r="AE85" s="55"/>
    </row>
    <row r="86" spans="1:31" s="58" customFormat="1">
      <c r="A86" s="949"/>
      <c r="B86" s="532"/>
      <c r="C86" s="952"/>
      <c r="D86" s="943" t="s">
        <v>1252</v>
      </c>
      <c r="E86" s="943" t="s">
        <v>1259</v>
      </c>
      <c r="F86" s="943"/>
      <c r="G86" s="943"/>
      <c r="H86" s="943"/>
      <c r="I86" s="943"/>
      <c r="J86" s="1344"/>
      <c r="K86" s="1344"/>
      <c r="L86" s="597" t="s">
        <v>845</v>
      </c>
      <c r="M86" s="603">
        <v>475000</v>
      </c>
      <c r="N86" s="202"/>
      <c r="O86" s="202"/>
      <c r="P86" s="202"/>
      <c r="Q86" s="802"/>
      <c r="R86" s="202"/>
      <c r="S86" s="202"/>
      <c r="T86" s="202"/>
      <c r="U86" s="202"/>
      <c r="V86" s="366"/>
      <c r="W86" s="366"/>
      <c r="X86" s="366"/>
      <c r="Y86" s="366"/>
      <c r="Z86" s="366"/>
      <c r="AA86" s="366"/>
      <c r="AB86" s="55"/>
      <c r="AC86" s="55"/>
      <c r="AD86" s="55"/>
      <c r="AE86" s="55"/>
    </row>
    <row r="87" spans="1:31" s="58" customFormat="1" ht="21.75" customHeight="1">
      <c r="A87" s="949"/>
      <c r="B87" s="532"/>
      <c r="C87" s="952"/>
      <c r="D87" s="943"/>
      <c r="E87" s="943" t="s">
        <v>1260</v>
      </c>
      <c r="F87" s="943"/>
      <c r="G87" s="943"/>
      <c r="H87" s="943"/>
      <c r="I87" s="943"/>
      <c r="J87" s="1344"/>
      <c r="K87" s="1344"/>
      <c r="L87" s="500" t="s">
        <v>841</v>
      </c>
      <c r="M87" s="602">
        <v>10000</v>
      </c>
      <c r="N87" s="202"/>
      <c r="O87" s="202"/>
      <c r="P87" s="202"/>
      <c r="Q87" s="802"/>
      <c r="R87" s="202"/>
      <c r="S87" s="202"/>
      <c r="T87" s="202"/>
      <c r="U87" s="202"/>
      <c r="V87" s="366"/>
      <c r="W87" s="366"/>
      <c r="X87" s="366"/>
      <c r="Y87" s="366"/>
      <c r="Z87" s="366"/>
      <c r="AA87" s="366"/>
      <c r="AB87" s="55"/>
      <c r="AC87" s="55"/>
      <c r="AD87" s="55"/>
      <c r="AE87" s="55"/>
    </row>
    <row r="88" spans="1:31" s="58" customFormat="1" ht="21.75" customHeight="1">
      <c r="A88" s="949"/>
      <c r="B88" s="532"/>
      <c r="C88" s="952"/>
      <c r="D88" s="943"/>
      <c r="E88" s="943" t="s">
        <v>1261</v>
      </c>
      <c r="F88" s="943"/>
      <c r="G88" s="943"/>
      <c r="H88" s="943"/>
      <c r="I88" s="943"/>
      <c r="J88" s="1344"/>
      <c r="K88" s="1344"/>
      <c r="L88" s="499" t="s">
        <v>235</v>
      </c>
      <c r="M88" s="602">
        <v>50000</v>
      </c>
      <c r="N88" s="202"/>
      <c r="O88" s="202"/>
      <c r="P88" s="202"/>
      <c r="Q88" s="802"/>
      <c r="R88" s="202"/>
      <c r="S88" s="202"/>
      <c r="T88" s="716"/>
      <c r="U88" s="716"/>
      <c r="V88" s="717"/>
      <c r="W88" s="717"/>
      <c r="X88" s="717"/>
      <c r="Y88" s="717"/>
      <c r="Z88" s="717"/>
      <c r="AA88" s="717"/>
      <c r="AB88" s="718"/>
      <c r="AC88" s="718"/>
      <c r="AD88" s="718"/>
      <c r="AE88" s="719"/>
    </row>
    <row r="89" spans="1:31" s="58" customFormat="1" ht="21.75" customHeight="1">
      <c r="A89" s="950"/>
      <c r="B89" s="564"/>
      <c r="C89" s="953"/>
      <c r="D89" s="944"/>
      <c r="E89" s="944"/>
      <c r="F89" s="944"/>
      <c r="G89" s="944"/>
      <c r="H89" s="944"/>
      <c r="I89" s="944"/>
      <c r="J89" s="1344"/>
      <c r="K89" s="1344"/>
      <c r="L89" s="499" t="s">
        <v>854</v>
      </c>
      <c r="M89" s="602">
        <v>109000</v>
      </c>
      <c r="N89" s="202"/>
      <c r="O89" s="202"/>
      <c r="P89" s="202"/>
      <c r="Q89" s="802"/>
      <c r="R89" s="202"/>
      <c r="S89" s="202"/>
      <c r="T89" s="716"/>
      <c r="U89" s="716"/>
      <c r="V89" s="717"/>
      <c r="W89" s="717"/>
      <c r="X89" s="717"/>
      <c r="Y89" s="717"/>
      <c r="Z89" s="717"/>
      <c r="AA89" s="717"/>
      <c r="AB89" s="718"/>
      <c r="AC89" s="718"/>
      <c r="AD89" s="718"/>
      <c r="AE89" s="719"/>
    </row>
    <row r="90" spans="1:31" s="179" customFormat="1" ht="23.25">
      <c r="A90" s="356" t="s">
        <v>239</v>
      </c>
      <c r="B90" s="176"/>
      <c r="C90" s="49"/>
      <c r="D90" s="664"/>
      <c r="E90" s="664"/>
      <c r="F90" s="664"/>
      <c r="G90" s="664"/>
      <c r="H90" s="664"/>
      <c r="I90" s="664"/>
      <c r="J90" s="49"/>
      <c r="K90" s="49"/>
      <c r="L90" s="500" t="s">
        <v>854</v>
      </c>
      <c r="M90" s="357">
        <v>6689000</v>
      </c>
      <c r="N90" s="357"/>
      <c r="O90" s="357"/>
      <c r="P90" s="357"/>
      <c r="Q90" s="798"/>
      <c r="R90" s="357"/>
      <c r="S90" s="357"/>
      <c r="T90" s="357" t="s">
        <v>546</v>
      </c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9"/>
    </row>
    <row r="91" spans="1:31" s="537" customFormat="1" ht="126" customHeight="1">
      <c r="A91" s="633" t="s">
        <v>241</v>
      </c>
      <c r="B91" s="630" t="s">
        <v>41</v>
      </c>
      <c r="C91" s="137" t="s">
        <v>242</v>
      </c>
      <c r="D91" s="675" t="s">
        <v>695</v>
      </c>
      <c r="E91" s="675" t="s">
        <v>700</v>
      </c>
      <c r="F91" s="675" t="s">
        <v>696</v>
      </c>
      <c r="G91" s="1298" t="s">
        <v>697</v>
      </c>
      <c r="H91" s="675" t="s">
        <v>612</v>
      </c>
      <c r="I91" s="675" t="s">
        <v>699</v>
      </c>
      <c r="J91" s="624" t="s">
        <v>698</v>
      </c>
      <c r="K91" s="627"/>
      <c r="L91" s="576"/>
      <c r="M91" s="462">
        <f>SUBTOTAL(9,M92:M95)</f>
        <v>2766750</v>
      </c>
      <c r="N91" s="462">
        <f>SUBTOTAL(9,N92:N95)</f>
        <v>439944</v>
      </c>
      <c r="O91" s="462">
        <f>SUBTOTAL(9,O92:O95)</f>
        <v>355843</v>
      </c>
      <c r="P91" s="462">
        <f>SUBTOTAL(9,P92:P95)</f>
        <v>460798</v>
      </c>
      <c r="Q91" s="803"/>
      <c r="R91" s="462">
        <f>N91+O91+P91</f>
        <v>1256585</v>
      </c>
      <c r="S91" s="462"/>
      <c r="T91" s="462" t="s">
        <v>34</v>
      </c>
      <c r="U91" s="462" t="s">
        <v>34</v>
      </c>
      <c r="V91" s="462"/>
      <c r="W91" s="462"/>
      <c r="X91" s="462"/>
      <c r="Y91" s="462"/>
      <c r="Z91" s="462"/>
      <c r="AA91" s="462"/>
      <c r="AB91" s="462"/>
      <c r="AC91" s="462"/>
      <c r="AD91" s="462"/>
      <c r="AE91" s="462"/>
    </row>
    <row r="92" spans="1:31" s="537" customFormat="1" ht="24" customHeight="1">
      <c r="A92" s="707"/>
      <c r="B92" s="631"/>
      <c r="C92" s="1296" t="s">
        <v>701</v>
      </c>
      <c r="D92" s="668"/>
      <c r="E92" s="668"/>
      <c r="F92" s="668"/>
      <c r="G92" s="1299"/>
      <c r="H92" s="668"/>
      <c r="I92" s="668"/>
      <c r="J92" s="625"/>
      <c r="K92" s="628"/>
      <c r="L92" s="613" t="s">
        <v>220</v>
      </c>
      <c r="M92" s="615">
        <v>1149600</v>
      </c>
      <c r="N92" s="540">
        <v>168512</v>
      </c>
      <c r="O92" s="540">
        <v>168492</v>
      </c>
      <c r="P92" s="540">
        <f>69907+69907+69907</f>
        <v>209721</v>
      </c>
      <c r="Q92" s="913"/>
      <c r="R92" s="538"/>
      <c r="S92" s="538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9"/>
    </row>
    <row r="93" spans="1:31" s="616" customFormat="1">
      <c r="A93" s="707"/>
      <c r="B93" s="631"/>
      <c r="C93" s="1296"/>
      <c r="D93" s="668"/>
      <c r="E93" s="668"/>
      <c r="F93" s="668"/>
      <c r="G93" s="668"/>
      <c r="H93" s="668"/>
      <c r="I93" s="668"/>
      <c r="J93" s="625"/>
      <c r="K93" s="628"/>
      <c r="L93" s="590" t="s">
        <v>230</v>
      </c>
      <c r="M93" s="541">
        <v>85200</v>
      </c>
      <c r="N93" s="615"/>
      <c r="O93" s="615"/>
      <c r="P93" s="614"/>
      <c r="Q93" s="914"/>
      <c r="R93" s="615"/>
      <c r="S93" s="615"/>
      <c r="T93" s="614"/>
      <c r="U93" s="614"/>
      <c r="V93" s="614"/>
      <c r="W93" s="614"/>
      <c r="X93" s="614"/>
      <c r="Y93" s="614"/>
      <c r="Z93" s="614"/>
      <c r="AA93" s="614"/>
      <c r="AB93" s="614"/>
      <c r="AC93" s="614"/>
      <c r="AD93" s="614"/>
      <c r="AE93" s="614"/>
    </row>
    <row r="94" spans="1:31" s="304" customFormat="1">
      <c r="A94" s="707"/>
      <c r="B94" s="631"/>
      <c r="C94" s="1296"/>
      <c r="D94" s="668"/>
      <c r="E94" s="668"/>
      <c r="F94" s="668"/>
      <c r="G94" s="668"/>
      <c r="H94" s="668"/>
      <c r="I94" s="668"/>
      <c r="J94" s="625"/>
      <c r="K94" s="628"/>
      <c r="L94" s="617" t="s">
        <v>243</v>
      </c>
      <c r="M94" s="618">
        <f>5354200-M97</f>
        <v>1431950</v>
      </c>
      <c r="N94" s="540">
        <v>271432</v>
      </c>
      <c r="O94" s="540">
        <v>71351</v>
      </c>
      <c r="P94" s="540">
        <f>16800+85245+2210+16800+33470+2210+16800+6932+68400+2210</f>
        <v>251077</v>
      </c>
      <c r="Q94" s="913"/>
      <c r="R94" s="541"/>
      <c r="S94" s="541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</row>
    <row r="95" spans="1:31" s="616" customFormat="1">
      <c r="A95" s="707"/>
      <c r="B95" s="631"/>
      <c r="C95" s="1296"/>
      <c r="D95" s="668"/>
      <c r="E95" s="668"/>
      <c r="F95" s="668"/>
      <c r="G95" s="668"/>
      <c r="H95" s="668"/>
      <c r="I95" s="668"/>
      <c r="J95" s="625"/>
      <c r="K95" s="628"/>
      <c r="L95" s="590" t="s">
        <v>235</v>
      </c>
      <c r="M95" s="541">
        <v>100000</v>
      </c>
      <c r="N95" s="618"/>
      <c r="O95" s="540">
        <f>77500+38500</f>
        <v>116000</v>
      </c>
      <c r="P95" s="963"/>
      <c r="Q95" s="915"/>
      <c r="R95" s="618"/>
      <c r="S95" s="618"/>
      <c r="T95" s="619"/>
      <c r="U95" s="619"/>
      <c r="V95" s="619"/>
      <c r="W95" s="614"/>
      <c r="X95" s="614"/>
      <c r="Y95" s="614"/>
      <c r="Z95" s="614"/>
      <c r="AA95" s="614"/>
      <c r="AB95" s="614"/>
      <c r="AC95" s="614"/>
      <c r="AD95" s="614"/>
      <c r="AE95" s="614"/>
    </row>
    <row r="96" spans="1:31" s="304" customFormat="1">
      <c r="A96" s="707"/>
      <c r="B96" s="631"/>
      <c r="C96" s="1297"/>
      <c r="D96" s="544"/>
      <c r="E96" s="544"/>
      <c r="F96" s="544"/>
      <c r="G96" s="544"/>
      <c r="H96" s="544"/>
      <c r="I96" s="544"/>
      <c r="J96" s="626"/>
      <c r="K96" s="629"/>
      <c r="L96" s="432" t="s">
        <v>244</v>
      </c>
      <c r="M96" s="542">
        <v>0</v>
      </c>
      <c r="N96" s="542"/>
      <c r="O96" s="542"/>
      <c r="P96" s="542"/>
      <c r="Q96" s="804"/>
      <c r="R96" s="542"/>
      <c r="S96" s="542"/>
      <c r="T96" s="540"/>
      <c r="U96" s="540"/>
      <c r="V96" s="540"/>
      <c r="W96" s="540"/>
      <c r="X96" s="540"/>
      <c r="Y96" s="540"/>
      <c r="Z96" s="540"/>
      <c r="AA96" s="540"/>
      <c r="AB96" s="540"/>
      <c r="AC96" s="540"/>
      <c r="AD96" s="540"/>
      <c r="AE96" s="540"/>
    </row>
    <row r="97" spans="1:31" s="58" customFormat="1" ht="63">
      <c r="A97" s="708"/>
      <c r="B97" s="632"/>
      <c r="C97" s="534" t="s">
        <v>702</v>
      </c>
      <c r="D97" s="666"/>
      <c r="E97" s="667"/>
      <c r="F97" s="666"/>
      <c r="G97" s="666"/>
      <c r="H97" s="666"/>
      <c r="I97" s="666"/>
      <c r="J97" s="408"/>
      <c r="K97" s="408"/>
      <c r="L97" s="535"/>
      <c r="M97" s="536">
        <f>SUM(M98:M135)</f>
        <v>3922250</v>
      </c>
      <c r="N97" s="536"/>
      <c r="O97" s="536"/>
      <c r="P97" s="536"/>
      <c r="Q97" s="805"/>
      <c r="R97" s="536"/>
      <c r="S97" s="536"/>
      <c r="T97" s="535"/>
      <c r="U97" s="535"/>
      <c r="V97" s="535"/>
      <c r="W97" s="535"/>
      <c r="X97" s="535"/>
      <c r="Y97" s="535"/>
      <c r="Z97" s="535"/>
      <c r="AA97" s="535"/>
      <c r="AB97" s="535"/>
      <c r="AC97" s="535"/>
      <c r="AD97" s="535"/>
      <c r="AE97" s="535"/>
    </row>
    <row r="98" spans="1:31" s="547" customFormat="1" ht="169.5" customHeight="1">
      <c r="A98" s="543" t="s">
        <v>247</v>
      </c>
      <c r="B98" s="410" t="s">
        <v>41</v>
      </c>
      <c r="C98" s="415" t="s">
        <v>248</v>
      </c>
      <c r="D98" s="544" t="s">
        <v>703</v>
      </c>
      <c r="E98" s="544" t="s">
        <v>705</v>
      </c>
      <c r="F98" s="544" t="s">
        <v>706</v>
      </c>
      <c r="G98" s="544" t="s">
        <v>708</v>
      </c>
      <c r="H98" s="544" t="s">
        <v>707</v>
      </c>
      <c r="I98" s="544" t="s">
        <v>622</v>
      </c>
      <c r="J98" s="504" t="s">
        <v>630</v>
      </c>
      <c r="K98" s="544" t="s">
        <v>34</v>
      </c>
      <c r="L98" s="621" t="s">
        <v>243</v>
      </c>
      <c r="M98" s="545">
        <v>6750</v>
      </c>
      <c r="N98" s="545"/>
      <c r="O98" s="545" t="s">
        <v>989</v>
      </c>
      <c r="P98" s="545" t="s">
        <v>1050</v>
      </c>
      <c r="Q98" s="806"/>
      <c r="R98" s="545"/>
      <c r="S98" s="545"/>
      <c r="T98" s="546">
        <v>0</v>
      </c>
      <c r="U98" s="546">
        <v>0</v>
      </c>
      <c r="V98" s="546">
        <v>0</v>
      </c>
      <c r="W98" s="533">
        <v>6750</v>
      </c>
      <c r="X98" s="533">
        <v>0</v>
      </c>
      <c r="Y98" s="533">
        <f t="shared" ref="Y98:Y113" si="1">SUM(V98:X98)</f>
        <v>6750</v>
      </c>
      <c r="Z98" s="533">
        <v>0</v>
      </c>
      <c r="AA98" s="533">
        <v>0</v>
      </c>
      <c r="AB98" s="533">
        <v>0</v>
      </c>
      <c r="AC98" s="533">
        <f>SUM(AA98:AB98)</f>
        <v>0</v>
      </c>
      <c r="AD98" s="533"/>
      <c r="AE98" s="533">
        <v>0</v>
      </c>
    </row>
    <row r="99" spans="1:31" s="547" customFormat="1" ht="258.75" customHeight="1">
      <c r="A99" s="543" t="s">
        <v>251</v>
      </c>
      <c r="B99" s="410" t="s">
        <v>41</v>
      </c>
      <c r="C99" s="415" t="s">
        <v>252</v>
      </c>
      <c r="D99" s="668" t="s">
        <v>709</v>
      </c>
      <c r="E99" s="668" t="s">
        <v>710</v>
      </c>
      <c r="F99" s="668" t="s">
        <v>870</v>
      </c>
      <c r="G99" s="668" t="s">
        <v>711</v>
      </c>
      <c r="H99" s="544" t="s">
        <v>712</v>
      </c>
      <c r="I99" s="544" t="s">
        <v>622</v>
      </c>
      <c r="J99" s="504" t="s">
        <v>725</v>
      </c>
      <c r="K99" s="415"/>
      <c r="L99" s="714" t="s">
        <v>243</v>
      </c>
      <c r="M99" s="545">
        <v>6600</v>
      </c>
      <c r="N99" s="545"/>
      <c r="O99" s="545" t="s">
        <v>1147</v>
      </c>
      <c r="P99" s="478" t="s">
        <v>1047</v>
      </c>
      <c r="Q99" s="812"/>
      <c r="R99" s="545" t="s">
        <v>989</v>
      </c>
      <c r="S99" s="545"/>
      <c r="T99" s="533">
        <v>0</v>
      </c>
      <c r="U99" s="533">
        <v>0</v>
      </c>
      <c r="V99" s="533">
        <v>0</v>
      </c>
      <c r="W99" s="533">
        <v>6600</v>
      </c>
      <c r="X99" s="533">
        <v>0</v>
      </c>
      <c r="Y99" s="533">
        <f t="shared" si="1"/>
        <v>6600</v>
      </c>
      <c r="Z99" s="533"/>
      <c r="AA99" s="533"/>
      <c r="AB99" s="533"/>
      <c r="AC99" s="533"/>
      <c r="AD99" s="533"/>
      <c r="AE99" s="533"/>
    </row>
    <row r="100" spans="1:31" s="501" customFormat="1" ht="270">
      <c r="A100" s="508" t="s">
        <v>256</v>
      </c>
      <c r="B100" s="726" t="s">
        <v>41</v>
      </c>
      <c r="C100" s="483" t="s">
        <v>257</v>
      </c>
      <c r="D100" s="734" t="s">
        <v>713</v>
      </c>
      <c r="E100" s="653" t="s">
        <v>714</v>
      </c>
      <c r="F100" s="734" t="s">
        <v>715</v>
      </c>
      <c r="G100" s="734" t="s">
        <v>716</v>
      </c>
      <c r="H100" s="731" t="s">
        <v>911</v>
      </c>
      <c r="I100" s="731"/>
      <c r="J100" s="504" t="s">
        <v>630</v>
      </c>
      <c r="K100" s="728"/>
      <c r="L100" s="771" t="s">
        <v>243</v>
      </c>
      <c r="M100" s="515">
        <v>8200</v>
      </c>
      <c r="N100" s="515"/>
      <c r="O100" s="515" t="s">
        <v>1148</v>
      </c>
      <c r="P100" s="515" t="s">
        <v>1042</v>
      </c>
      <c r="Q100" s="807"/>
      <c r="R100" s="515"/>
      <c r="S100" s="515"/>
      <c r="T100" s="499">
        <v>0</v>
      </c>
      <c r="U100" s="499">
        <v>0</v>
      </c>
      <c r="V100" s="499">
        <v>0</v>
      </c>
      <c r="W100" s="499">
        <v>8200</v>
      </c>
      <c r="X100" s="499">
        <v>0</v>
      </c>
      <c r="Y100" s="499">
        <f t="shared" si="1"/>
        <v>8200</v>
      </c>
      <c r="Z100" s="499"/>
      <c r="AA100" s="499"/>
      <c r="AB100" s="499"/>
      <c r="AC100" s="499"/>
      <c r="AD100" s="499"/>
      <c r="AE100" s="499"/>
    </row>
    <row r="101" spans="1:31" s="547" customFormat="1" ht="113.25" customHeight="1">
      <c r="A101" s="543" t="s">
        <v>262</v>
      </c>
      <c r="B101" s="410" t="s">
        <v>41</v>
      </c>
      <c r="C101" s="415" t="s">
        <v>263</v>
      </c>
      <c r="D101" s="550" t="s">
        <v>961</v>
      </c>
      <c r="E101" s="669" t="s">
        <v>962</v>
      </c>
      <c r="F101" s="550"/>
      <c r="G101" s="550"/>
      <c r="H101" s="550"/>
      <c r="I101" s="550"/>
      <c r="J101" s="504" t="s">
        <v>630</v>
      </c>
      <c r="K101" s="415"/>
      <c r="L101" s="617" t="s">
        <v>243</v>
      </c>
      <c r="M101" s="545">
        <v>8000</v>
      </c>
      <c r="N101" s="545"/>
      <c r="O101" s="545" t="s">
        <v>1139</v>
      </c>
      <c r="P101" s="478" t="s">
        <v>1047</v>
      </c>
      <c r="Q101" s="812"/>
      <c r="R101" s="545" t="s">
        <v>989</v>
      </c>
      <c r="S101" s="545"/>
      <c r="T101" s="533">
        <v>0</v>
      </c>
      <c r="U101" s="533">
        <v>0</v>
      </c>
      <c r="V101" s="533">
        <v>0</v>
      </c>
      <c r="W101" s="533">
        <v>8000</v>
      </c>
      <c r="X101" s="533">
        <v>0</v>
      </c>
      <c r="Y101" s="533">
        <f t="shared" si="1"/>
        <v>8000</v>
      </c>
      <c r="Z101" s="533"/>
      <c r="AA101" s="533"/>
      <c r="AB101" s="533"/>
      <c r="AC101" s="533"/>
      <c r="AD101" s="533"/>
      <c r="AE101" s="533"/>
    </row>
    <row r="102" spans="1:31" s="547" customFormat="1" ht="138" customHeight="1">
      <c r="A102" s="543" t="s">
        <v>266</v>
      </c>
      <c r="B102" s="410" t="s">
        <v>41</v>
      </c>
      <c r="C102" s="415" t="s">
        <v>267</v>
      </c>
      <c r="D102" s="550" t="s">
        <v>963</v>
      </c>
      <c r="E102" s="550" t="s">
        <v>967</v>
      </c>
      <c r="F102" s="550" t="s">
        <v>964</v>
      </c>
      <c r="G102" s="550" t="s">
        <v>965</v>
      </c>
      <c r="H102" s="550" t="s">
        <v>966</v>
      </c>
      <c r="I102" s="544" t="s">
        <v>624</v>
      </c>
      <c r="J102" s="504" t="s">
        <v>630</v>
      </c>
      <c r="K102" s="415"/>
      <c r="L102" s="621" t="s">
        <v>243</v>
      </c>
      <c r="M102" s="545">
        <v>4100</v>
      </c>
      <c r="N102" s="545"/>
      <c r="O102" s="545" t="s">
        <v>1139</v>
      </c>
      <c r="P102" s="478" t="s">
        <v>1195</v>
      </c>
      <c r="Q102" s="812"/>
      <c r="R102" s="545"/>
      <c r="S102" s="545"/>
      <c r="T102" s="533">
        <v>0</v>
      </c>
      <c r="U102" s="533">
        <v>0</v>
      </c>
      <c r="V102" s="533">
        <v>0</v>
      </c>
      <c r="W102" s="533">
        <v>4100</v>
      </c>
      <c r="X102" s="533">
        <v>0</v>
      </c>
      <c r="Y102" s="533">
        <f t="shared" si="1"/>
        <v>4100</v>
      </c>
      <c r="Z102" s="533">
        <v>0</v>
      </c>
      <c r="AA102" s="533">
        <v>0</v>
      </c>
      <c r="AB102" s="533">
        <v>0</v>
      </c>
      <c r="AC102" s="533">
        <f>SUM(AA102:AB102)</f>
        <v>0</v>
      </c>
      <c r="AD102" s="533"/>
      <c r="AE102" s="533">
        <v>0</v>
      </c>
    </row>
    <row r="103" spans="1:31" s="547" customFormat="1" ht="190.5" customHeight="1">
      <c r="A103" s="543" t="s">
        <v>270</v>
      </c>
      <c r="B103" s="410" t="s">
        <v>128</v>
      </c>
      <c r="C103" s="415" t="s">
        <v>271</v>
      </c>
      <c r="D103" s="544" t="s">
        <v>717</v>
      </c>
      <c r="E103" s="544" t="s">
        <v>881</v>
      </c>
      <c r="F103" s="544" t="s">
        <v>871</v>
      </c>
      <c r="G103" s="544" t="s">
        <v>655</v>
      </c>
      <c r="H103" s="544" t="s">
        <v>519</v>
      </c>
      <c r="I103" s="544" t="s">
        <v>720</v>
      </c>
      <c r="J103" s="504" t="s">
        <v>630</v>
      </c>
      <c r="K103" s="415"/>
      <c r="L103" s="621" t="s">
        <v>243</v>
      </c>
      <c r="M103" s="545">
        <v>7200</v>
      </c>
      <c r="N103" s="545" t="s">
        <v>34</v>
      </c>
      <c r="O103" s="545" t="s">
        <v>1149</v>
      </c>
      <c r="P103" s="545" t="s">
        <v>1051</v>
      </c>
      <c r="Q103" s="806"/>
      <c r="R103" s="545"/>
      <c r="S103" s="545"/>
      <c r="T103" s="533">
        <v>0</v>
      </c>
      <c r="U103" s="533">
        <v>0</v>
      </c>
      <c r="V103" s="533">
        <v>0</v>
      </c>
      <c r="W103" s="533">
        <v>7200</v>
      </c>
      <c r="X103" s="533">
        <v>0</v>
      </c>
      <c r="Y103" s="533">
        <f t="shared" si="1"/>
        <v>7200</v>
      </c>
      <c r="Z103" s="533">
        <v>0</v>
      </c>
      <c r="AA103" s="533">
        <v>0</v>
      </c>
      <c r="AB103" s="533">
        <v>0</v>
      </c>
      <c r="AC103" s="533">
        <f>SUM(AA103:AB103)</f>
        <v>0</v>
      </c>
      <c r="AD103" s="533"/>
      <c r="AE103" s="533">
        <v>0</v>
      </c>
    </row>
    <row r="104" spans="1:31" s="501" customFormat="1" ht="254.25" customHeight="1">
      <c r="A104" s="508" t="s">
        <v>274</v>
      </c>
      <c r="B104" s="726" t="s">
        <v>41</v>
      </c>
      <c r="C104" s="483" t="s">
        <v>275</v>
      </c>
      <c r="D104" s="544" t="s">
        <v>718</v>
      </c>
      <c r="E104" s="544" t="s">
        <v>719</v>
      </c>
      <c r="F104" s="544" t="s">
        <v>721</v>
      </c>
      <c r="G104" s="544" t="s">
        <v>722</v>
      </c>
      <c r="H104" s="544" t="s">
        <v>722</v>
      </c>
      <c r="I104" s="544" t="s">
        <v>624</v>
      </c>
      <c r="J104" s="504" t="s">
        <v>725</v>
      </c>
      <c r="K104" s="483"/>
      <c r="L104" s="759" t="s">
        <v>243</v>
      </c>
      <c r="M104" s="515">
        <v>1600000</v>
      </c>
      <c r="N104" s="515" t="s">
        <v>1024</v>
      </c>
      <c r="O104" s="515" t="s">
        <v>1150</v>
      </c>
      <c r="P104" s="515" t="s">
        <v>1023</v>
      </c>
      <c r="Q104" s="807"/>
      <c r="R104" s="544" t="s">
        <v>1025</v>
      </c>
      <c r="S104" s="515"/>
      <c r="T104" s="499">
        <v>0</v>
      </c>
      <c r="U104" s="499">
        <v>0</v>
      </c>
      <c r="V104" s="499">
        <v>1600000</v>
      </c>
      <c r="W104" s="499">
        <v>0</v>
      </c>
      <c r="X104" s="499">
        <v>0</v>
      </c>
      <c r="Y104" s="499">
        <f t="shared" si="1"/>
        <v>1600000</v>
      </c>
      <c r="Z104" s="499">
        <v>0</v>
      </c>
      <c r="AA104" s="499">
        <v>0</v>
      </c>
      <c r="AB104" s="499">
        <v>0</v>
      </c>
      <c r="AC104" s="499">
        <f>SUM(AA104:AB104)</f>
        <v>0</v>
      </c>
      <c r="AD104" s="499"/>
      <c r="AE104" s="499">
        <v>0</v>
      </c>
    </row>
    <row r="105" spans="1:31" s="501" customFormat="1" ht="219.75" customHeight="1">
      <c r="A105" s="508" t="s">
        <v>277</v>
      </c>
      <c r="B105" s="726" t="s">
        <v>41</v>
      </c>
      <c r="C105" s="483" t="s">
        <v>278</v>
      </c>
      <c r="D105" s="544" t="s">
        <v>726</v>
      </c>
      <c r="E105" s="544" t="s">
        <v>723</v>
      </c>
      <c r="F105" s="544" t="s">
        <v>1027</v>
      </c>
      <c r="G105" s="544" t="s">
        <v>724</v>
      </c>
      <c r="H105" s="544" t="s">
        <v>727</v>
      </c>
      <c r="I105" s="656" t="s">
        <v>638</v>
      </c>
      <c r="J105" s="506" t="s">
        <v>725</v>
      </c>
      <c r="K105" s="483"/>
      <c r="L105" s="759" t="s">
        <v>243</v>
      </c>
      <c r="M105" s="515">
        <v>45000</v>
      </c>
      <c r="N105" s="515" t="s">
        <v>34</v>
      </c>
      <c r="O105" s="515" t="s">
        <v>1026</v>
      </c>
      <c r="P105" s="516" t="s">
        <v>646</v>
      </c>
      <c r="Q105" s="836"/>
      <c r="R105" s="544" t="s">
        <v>1028</v>
      </c>
      <c r="S105" s="516" t="s">
        <v>990</v>
      </c>
      <c r="T105" s="499">
        <v>0</v>
      </c>
      <c r="U105" s="499">
        <v>0</v>
      </c>
      <c r="V105" s="499">
        <v>0</v>
      </c>
      <c r="W105" s="499">
        <v>45000</v>
      </c>
      <c r="X105" s="499">
        <v>0</v>
      </c>
      <c r="Y105" s="499">
        <f t="shared" si="1"/>
        <v>45000</v>
      </c>
      <c r="Z105" s="499">
        <v>0</v>
      </c>
      <c r="AA105" s="499">
        <v>0</v>
      </c>
      <c r="AB105" s="499">
        <v>0</v>
      </c>
      <c r="AC105" s="499">
        <f>SUM(AA105:AB105)</f>
        <v>0</v>
      </c>
      <c r="AD105" s="499"/>
      <c r="AE105" s="499">
        <v>0</v>
      </c>
    </row>
    <row r="106" spans="1:31" s="501" customFormat="1" ht="274.5" customHeight="1">
      <c r="A106" s="508" t="s">
        <v>286</v>
      </c>
      <c r="B106" s="483" t="s">
        <v>41</v>
      </c>
      <c r="C106" s="483" t="s">
        <v>1032</v>
      </c>
      <c r="D106" s="734" t="s">
        <v>728</v>
      </c>
      <c r="E106" s="653" t="s">
        <v>729</v>
      </c>
      <c r="F106" s="734" t="s">
        <v>730</v>
      </c>
      <c r="G106" s="734" t="s">
        <v>731</v>
      </c>
      <c r="H106" s="734" t="s">
        <v>732</v>
      </c>
      <c r="I106" s="734"/>
      <c r="J106" s="504" t="s">
        <v>630</v>
      </c>
      <c r="K106" s="483"/>
      <c r="L106" s="759" t="s">
        <v>243</v>
      </c>
      <c r="M106" s="515">
        <v>300000</v>
      </c>
      <c r="N106" s="515"/>
      <c r="O106" s="515" t="s">
        <v>1151</v>
      </c>
      <c r="P106" s="515" t="s">
        <v>1030</v>
      </c>
      <c r="Q106" s="807"/>
      <c r="R106" s="734" t="s">
        <v>1029</v>
      </c>
      <c r="S106" s="516" t="s">
        <v>1031</v>
      </c>
      <c r="T106" s="499">
        <v>0</v>
      </c>
      <c r="U106" s="499">
        <v>0</v>
      </c>
      <c r="V106" s="499">
        <v>0</v>
      </c>
      <c r="W106" s="499">
        <v>300000</v>
      </c>
      <c r="X106" s="499">
        <v>0</v>
      </c>
      <c r="Y106" s="499">
        <f t="shared" si="1"/>
        <v>300000</v>
      </c>
      <c r="Z106" s="499">
        <v>0</v>
      </c>
      <c r="AA106" s="499">
        <v>0</v>
      </c>
      <c r="AB106" s="499">
        <v>0</v>
      </c>
      <c r="AC106" s="499">
        <f>SUM(AA106:AB106)</f>
        <v>0</v>
      </c>
      <c r="AD106" s="499"/>
      <c r="AE106" s="499">
        <v>0</v>
      </c>
    </row>
    <row r="107" spans="1:31" s="547" customFormat="1" ht="162.75" customHeight="1">
      <c r="A107" s="543" t="s">
        <v>297</v>
      </c>
      <c r="B107" s="410" t="s">
        <v>41</v>
      </c>
      <c r="C107" s="415" t="s">
        <v>298</v>
      </c>
      <c r="D107" s="544" t="s">
        <v>733</v>
      </c>
      <c r="E107" s="544" t="s">
        <v>734</v>
      </c>
      <c r="F107" s="544" t="s">
        <v>735</v>
      </c>
      <c r="G107" s="544" t="s">
        <v>736</v>
      </c>
      <c r="H107" s="544" t="s">
        <v>737</v>
      </c>
      <c r="I107" s="656" t="s">
        <v>638</v>
      </c>
      <c r="J107" s="506" t="s">
        <v>725</v>
      </c>
      <c r="K107" s="415"/>
      <c r="L107" s="621" t="s">
        <v>243</v>
      </c>
      <c r="M107" s="545">
        <v>20000</v>
      </c>
      <c r="N107" s="545"/>
      <c r="O107" s="545" t="s">
        <v>1152</v>
      </c>
      <c r="P107" s="478" t="s">
        <v>1047</v>
      </c>
      <c r="Q107" s="812"/>
      <c r="R107" s="545" t="s">
        <v>989</v>
      </c>
      <c r="S107" s="545"/>
      <c r="T107" s="533">
        <v>0</v>
      </c>
      <c r="U107" s="533">
        <v>0</v>
      </c>
      <c r="V107" s="533">
        <v>0</v>
      </c>
      <c r="W107" s="533">
        <v>20000</v>
      </c>
      <c r="X107" s="533">
        <v>0</v>
      </c>
      <c r="Y107" s="533">
        <f t="shared" si="1"/>
        <v>20000</v>
      </c>
      <c r="Z107" s="533">
        <v>0</v>
      </c>
      <c r="AA107" s="533">
        <v>0</v>
      </c>
      <c r="AB107" s="533">
        <v>0</v>
      </c>
      <c r="AC107" s="533">
        <f t="shared" ref="AC107:AC113" si="2">SUM(AA107:AB107)</f>
        <v>0</v>
      </c>
      <c r="AD107" s="533"/>
      <c r="AE107" s="533">
        <v>0</v>
      </c>
    </row>
    <row r="108" spans="1:31" s="547" customFormat="1" ht="255.75" customHeight="1">
      <c r="A108" s="543" t="s">
        <v>301</v>
      </c>
      <c r="B108" s="410" t="s">
        <v>41</v>
      </c>
      <c r="C108" s="415" t="s">
        <v>302</v>
      </c>
      <c r="D108" s="544" t="s">
        <v>738</v>
      </c>
      <c r="E108" s="544" t="s">
        <v>739</v>
      </c>
      <c r="F108" s="544" t="s">
        <v>740</v>
      </c>
      <c r="G108" s="544" t="s">
        <v>742</v>
      </c>
      <c r="H108" s="544" t="s">
        <v>694</v>
      </c>
      <c r="I108" s="544" t="s">
        <v>638</v>
      </c>
      <c r="J108" s="504" t="s">
        <v>741</v>
      </c>
      <c r="K108" s="415"/>
      <c r="L108" s="621" t="s">
        <v>243</v>
      </c>
      <c r="M108" s="545">
        <v>10500</v>
      </c>
      <c r="N108" s="545"/>
      <c r="O108" s="545" t="s">
        <v>1139</v>
      </c>
      <c r="P108" s="478" t="s">
        <v>1047</v>
      </c>
      <c r="Q108" s="812"/>
      <c r="R108" s="545" t="s">
        <v>989</v>
      </c>
      <c r="S108" s="545"/>
      <c r="T108" s="533">
        <v>0</v>
      </c>
      <c r="U108" s="533">
        <v>0</v>
      </c>
      <c r="V108" s="533">
        <v>0</v>
      </c>
      <c r="W108" s="533">
        <v>10500</v>
      </c>
      <c r="X108" s="533">
        <v>0</v>
      </c>
      <c r="Y108" s="533">
        <f t="shared" si="1"/>
        <v>10500</v>
      </c>
      <c r="Z108" s="533">
        <v>0</v>
      </c>
      <c r="AA108" s="533">
        <v>0</v>
      </c>
      <c r="AB108" s="533">
        <v>0</v>
      </c>
      <c r="AC108" s="533">
        <f t="shared" si="2"/>
        <v>0</v>
      </c>
      <c r="AD108" s="533"/>
      <c r="AE108" s="533">
        <v>0</v>
      </c>
    </row>
    <row r="109" spans="1:31" s="553" customFormat="1" ht="218.25" customHeight="1">
      <c r="A109" s="549" t="s">
        <v>305</v>
      </c>
      <c r="B109" s="549" t="s">
        <v>41</v>
      </c>
      <c r="C109" s="550" t="s">
        <v>306</v>
      </c>
      <c r="D109" s="544" t="s">
        <v>743</v>
      </c>
      <c r="E109" s="544" t="s">
        <v>744</v>
      </c>
      <c r="F109" s="544" t="s">
        <v>745</v>
      </c>
      <c r="G109" s="544" t="s">
        <v>746</v>
      </c>
      <c r="H109" s="544" t="s">
        <v>747</v>
      </c>
      <c r="I109" s="544" t="s">
        <v>638</v>
      </c>
      <c r="J109" s="544" t="s">
        <v>630</v>
      </c>
      <c r="K109" s="550"/>
      <c r="L109" s="621" t="s">
        <v>243</v>
      </c>
      <c r="M109" s="542">
        <v>20000</v>
      </c>
      <c r="N109" s="542"/>
      <c r="O109" s="542" t="s">
        <v>989</v>
      </c>
      <c r="P109" s="478" t="s">
        <v>1047</v>
      </c>
      <c r="Q109" s="812"/>
      <c r="R109" s="542" t="s">
        <v>989</v>
      </c>
      <c r="S109" s="542"/>
      <c r="T109" s="551">
        <v>0</v>
      </c>
      <c r="U109" s="551">
        <v>0</v>
      </c>
      <c r="V109" s="551">
        <v>0</v>
      </c>
      <c r="W109" s="551">
        <v>20000</v>
      </c>
      <c r="X109" s="551">
        <v>0</v>
      </c>
      <c r="Y109" s="551">
        <f t="shared" si="1"/>
        <v>20000</v>
      </c>
      <c r="Z109" s="551">
        <v>0</v>
      </c>
      <c r="AA109" s="551">
        <v>0</v>
      </c>
      <c r="AB109" s="551">
        <v>0</v>
      </c>
      <c r="AC109" s="551">
        <f t="shared" si="2"/>
        <v>0</v>
      </c>
      <c r="AD109" s="551"/>
      <c r="AE109" s="551">
        <v>0</v>
      </c>
    </row>
    <row r="110" spans="1:31" s="547" customFormat="1" ht="170.25" customHeight="1">
      <c r="A110" s="543" t="s">
        <v>309</v>
      </c>
      <c r="B110" s="410" t="s">
        <v>41</v>
      </c>
      <c r="C110" s="415" t="s">
        <v>310</v>
      </c>
      <c r="D110" s="544" t="s">
        <v>748</v>
      </c>
      <c r="E110" s="544" t="s">
        <v>749</v>
      </c>
      <c r="F110" s="544" t="s">
        <v>750</v>
      </c>
      <c r="G110" s="544" t="s">
        <v>655</v>
      </c>
      <c r="H110" s="544" t="s">
        <v>519</v>
      </c>
      <c r="I110" s="656" t="s">
        <v>638</v>
      </c>
      <c r="J110" s="506" t="s">
        <v>725</v>
      </c>
      <c r="K110" s="415"/>
      <c r="L110" s="621" t="s">
        <v>243</v>
      </c>
      <c r="M110" s="542">
        <v>20000</v>
      </c>
      <c r="N110" s="542"/>
      <c r="O110" s="542" t="s">
        <v>989</v>
      </c>
      <c r="P110" s="478" t="s">
        <v>1047</v>
      </c>
      <c r="Q110" s="812"/>
      <c r="R110" s="542" t="s">
        <v>989</v>
      </c>
      <c r="S110" s="542"/>
      <c r="T110" s="533">
        <v>0</v>
      </c>
      <c r="U110" s="533">
        <v>0</v>
      </c>
      <c r="V110" s="533">
        <v>0</v>
      </c>
      <c r="W110" s="533">
        <v>20000</v>
      </c>
      <c r="X110" s="533">
        <v>0</v>
      </c>
      <c r="Y110" s="533">
        <f t="shared" si="1"/>
        <v>20000</v>
      </c>
      <c r="Z110" s="533">
        <v>0</v>
      </c>
      <c r="AA110" s="533">
        <v>0</v>
      </c>
      <c r="AB110" s="533">
        <v>0</v>
      </c>
      <c r="AC110" s="533">
        <f t="shared" si="2"/>
        <v>0</v>
      </c>
      <c r="AD110" s="533"/>
      <c r="AE110" s="533">
        <v>0</v>
      </c>
    </row>
    <row r="111" spans="1:31" s="501" customFormat="1" ht="333" customHeight="1">
      <c r="A111" s="508" t="s">
        <v>311</v>
      </c>
      <c r="B111" s="572" t="s">
        <v>45</v>
      </c>
      <c r="C111" s="70" t="s">
        <v>312</v>
      </c>
      <c r="D111" s="731" t="s">
        <v>751</v>
      </c>
      <c r="E111" s="731" t="s">
        <v>752</v>
      </c>
      <c r="F111" s="731" t="s">
        <v>755</v>
      </c>
      <c r="G111" s="734" t="s">
        <v>753</v>
      </c>
      <c r="H111" s="734" t="s">
        <v>754</v>
      </c>
      <c r="I111" s="734" t="s">
        <v>57</v>
      </c>
      <c r="J111" s="656" t="s">
        <v>630</v>
      </c>
      <c r="K111" s="591"/>
      <c r="L111" s="759" t="s">
        <v>243</v>
      </c>
      <c r="M111" s="602">
        <v>3000</v>
      </c>
      <c r="N111" s="515"/>
      <c r="O111" s="515" t="s">
        <v>1139</v>
      </c>
      <c r="P111" s="515" t="s">
        <v>988</v>
      </c>
      <c r="Q111" s="807"/>
      <c r="R111" s="515" t="s">
        <v>989</v>
      </c>
      <c r="S111" s="515" t="s">
        <v>990</v>
      </c>
      <c r="T111" s="499">
        <v>0</v>
      </c>
      <c r="U111" s="499">
        <v>0</v>
      </c>
      <c r="V111" s="499">
        <v>0</v>
      </c>
      <c r="W111" s="516">
        <v>3000</v>
      </c>
      <c r="X111" s="499">
        <v>0</v>
      </c>
      <c r="Y111" s="499">
        <f t="shared" si="1"/>
        <v>3000</v>
      </c>
      <c r="Z111" s="499">
        <v>0</v>
      </c>
      <c r="AA111" s="499">
        <v>0</v>
      </c>
      <c r="AB111" s="499">
        <v>0</v>
      </c>
      <c r="AC111" s="499">
        <f t="shared" si="2"/>
        <v>0</v>
      </c>
      <c r="AD111" s="499"/>
      <c r="AE111" s="499">
        <v>0</v>
      </c>
    </row>
    <row r="112" spans="1:31" s="501" customFormat="1" ht="396">
      <c r="A112" s="508" t="s">
        <v>318</v>
      </c>
      <c r="B112" s="572" t="s">
        <v>45</v>
      </c>
      <c r="C112" s="70" t="s">
        <v>319</v>
      </c>
      <c r="D112" s="732" t="s">
        <v>320</v>
      </c>
      <c r="E112" s="732" t="s">
        <v>321</v>
      </c>
      <c r="F112" s="731" t="s">
        <v>322</v>
      </c>
      <c r="G112" s="731"/>
      <c r="H112" s="731"/>
      <c r="I112" s="731" t="s">
        <v>323</v>
      </c>
      <c r="J112" s="544" t="s">
        <v>630</v>
      </c>
      <c r="K112" s="70"/>
      <c r="L112" s="760" t="s">
        <v>243</v>
      </c>
      <c r="M112" s="515">
        <v>13500</v>
      </c>
      <c r="N112" s="515" t="s">
        <v>1003</v>
      </c>
      <c r="O112" s="515" t="s">
        <v>1153</v>
      </c>
      <c r="P112" s="515" t="s">
        <v>991</v>
      </c>
      <c r="Q112" s="807"/>
      <c r="R112" s="515" t="s">
        <v>989</v>
      </c>
      <c r="S112" s="515" t="s">
        <v>990</v>
      </c>
      <c r="T112" s="499">
        <v>0</v>
      </c>
      <c r="U112" s="499">
        <v>0</v>
      </c>
      <c r="V112" s="499">
        <v>0</v>
      </c>
      <c r="W112" s="516">
        <v>13500</v>
      </c>
      <c r="X112" s="499">
        <v>0</v>
      </c>
      <c r="Y112" s="499">
        <f t="shared" si="1"/>
        <v>13500</v>
      </c>
      <c r="Z112" s="499">
        <v>0</v>
      </c>
      <c r="AA112" s="499">
        <v>0</v>
      </c>
      <c r="AB112" s="499">
        <v>0</v>
      </c>
      <c r="AC112" s="499">
        <f t="shared" si="2"/>
        <v>0</v>
      </c>
      <c r="AD112" s="499"/>
      <c r="AE112" s="499">
        <v>0</v>
      </c>
    </row>
    <row r="113" spans="1:31" s="501" customFormat="1" ht="256.5" customHeight="1">
      <c r="A113" s="508" t="s">
        <v>326</v>
      </c>
      <c r="B113" s="572" t="s">
        <v>106</v>
      </c>
      <c r="C113" s="70" t="s">
        <v>327</v>
      </c>
      <c r="D113" s="670" t="s">
        <v>872</v>
      </c>
      <c r="E113" s="670" t="s">
        <v>756</v>
      </c>
      <c r="F113" s="670" t="s">
        <v>873</v>
      </c>
      <c r="G113" s="670" t="s">
        <v>757</v>
      </c>
      <c r="H113" s="731" t="s">
        <v>758</v>
      </c>
      <c r="I113" s="734" t="s">
        <v>57</v>
      </c>
      <c r="J113" s="544" t="s">
        <v>630</v>
      </c>
      <c r="K113" s="70"/>
      <c r="L113" s="759" t="s">
        <v>243</v>
      </c>
      <c r="M113" s="515">
        <v>11100</v>
      </c>
      <c r="N113" s="515"/>
      <c r="O113" s="515" t="s">
        <v>1154</v>
      </c>
      <c r="P113" s="515">
        <v>2408</v>
      </c>
      <c r="Q113" s="807"/>
      <c r="R113" s="515" t="s">
        <v>974</v>
      </c>
      <c r="S113" s="515"/>
      <c r="T113" s="499">
        <v>0</v>
      </c>
      <c r="U113" s="499">
        <v>0</v>
      </c>
      <c r="V113" s="499">
        <v>0</v>
      </c>
      <c r="W113" s="516">
        <v>11100</v>
      </c>
      <c r="X113" s="499">
        <v>0</v>
      </c>
      <c r="Y113" s="499">
        <f t="shared" si="1"/>
        <v>11100</v>
      </c>
      <c r="Z113" s="499">
        <v>0</v>
      </c>
      <c r="AA113" s="499">
        <v>0</v>
      </c>
      <c r="AB113" s="499">
        <v>0</v>
      </c>
      <c r="AC113" s="499">
        <f t="shared" si="2"/>
        <v>0</v>
      </c>
      <c r="AD113" s="499"/>
      <c r="AE113" s="499">
        <v>0</v>
      </c>
    </row>
    <row r="114" spans="1:31" s="547" customFormat="1" ht="278.25" customHeight="1">
      <c r="A114" s="543" t="s">
        <v>331</v>
      </c>
      <c r="B114" s="436" t="s">
        <v>89</v>
      </c>
      <c r="C114" s="555" t="s">
        <v>332</v>
      </c>
      <c r="D114" s="588" t="s">
        <v>759</v>
      </c>
      <c r="E114" s="588" t="s">
        <v>763</v>
      </c>
      <c r="F114" s="588" t="s">
        <v>762</v>
      </c>
      <c r="G114" s="588" t="s">
        <v>760</v>
      </c>
      <c r="H114" s="588" t="s">
        <v>761</v>
      </c>
      <c r="I114" s="550" t="s">
        <v>57</v>
      </c>
      <c r="J114" s="544" t="s">
        <v>630</v>
      </c>
      <c r="K114" s="432"/>
      <c r="L114" s="621" t="s">
        <v>243</v>
      </c>
      <c r="M114" s="545">
        <v>17100</v>
      </c>
      <c r="N114" s="545"/>
      <c r="O114" s="545" t="s">
        <v>1155</v>
      </c>
      <c r="P114" s="545" t="s">
        <v>1053</v>
      </c>
      <c r="Q114" s="806"/>
      <c r="R114" s="545"/>
      <c r="S114" s="545"/>
      <c r="T114" s="533">
        <v>0</v>
      </c>
      <c r="U114" s="533">
        <v>0</v>
      </c>
      <c r="V114" s="533">
        <v>0</v>
      </c>
      <c r="W114" s="533">
        <v>17100</v>
      </c>
      <c r="X114" s="533">
        <v>0</v>
      </c>
      <c r="Y114" s="533">
        <f t="shared" ref="Y114:Y131" si="3">V114+W114+X114</f>
        <v>17100</v>
      </c>
      <c r="Z114" s="533">
        <v>0</v>
      </c>
      <c r="AA114" s="533">
        <v>0</v>
      </c>
      <c r="AB114" s="533">
        <v>0</v>
      </c>
      <c r="AC114" s="533">
        <f t="shared" ref="AC114:AC131" si="4">AA114+AB114</f>
        <v>0</v>
      </c>
      <c r="AD114" s="533"/>
      <c r="AE114" s="533">
        <v>0</v>
      </c>
    </row>
    <row r="115" spans="1:31" s="501" customFormat="1" ht="184.5" customHeight="1">
      <c r="A115" s="508" t="s">
        <v>338</v>
      </c>
      <c r="B115" s="572" t="s">
        <v>81</v>
      </c>
      <c r="C115" s="70" t="s">
        <v>339</v>
      </c>
      <c r="D115" s="671" t="s">
        <v>764</v>
      </c>
      <c r="E115" s="672" t="s">
        <v>765</v>
      </c>
      <c r="F115" s="672" t="s">
        <v>766</v>
      </c>
      <c r="G115" s="731" t="s">
        <v>767</v>
      </c>
      <c r="H115" s="731" t="s">
        <v>768</v>
      </c>
      <c r="I115" s="734" t="s">
        <v>57</v>
      </c>
      <c r="J115" s="544" t="s">
        <v>630</v>
      </c>
      <c r="K115" s="70"/>
      <c r="L115" s="759" t="s">
        <v>243</v>
      </c>
      <c r="M115" s="515">
        <v>16200</v>
      </c>
      <c r="N115" s="515"/>
      <c r="O115" s="515" t="s">
        <v>1156</v>
      </c>
      <c r="P115" s="515" t="s">
        <v>1054</v>
      </c>
      <c r="Q115" s="807"/>
      <c r="R115" s="761" t="s">
        <v>1193</v>
      </c>
      <c r="S115" s="515"/>
      <c r="T115" s="499">
        <v>0</v>
      </c>
      <c r="U115" s="499">
        <v>0</v>
      </c>
      <c r="V115" s="499">
        <v>0</v>
      </c>
      <c r="W115" s="516">
        <v>16200</v>
      </c>
      <c r="X115" s="499">
        <v>0</v>
      </c>
      <c r="Y115" s="499">
        <f t="shared" si="3"/>
        <v>16200</v>
      </c>
      <c r="Z115" s="499">
        <v>0</v>
      </c>
      <c r="AA115" s="499">
        <v>0</v>
      </c>
      <c r="AB115" s="499">
        <v>0</v>
      </c>
      <c r="AC115" s="499">
        <f t="shared" si="4"/>
        <v>0</v>
      </c>
      <c r="AD115" s="499"/>
      <c r="AE115" s="499">
        <v>0</v>
      </c>
    </row>
    <row r="116" spans="1:31" s="501" customFormat="1" ht="202.5" customHeight="1">
      <c r="A116" s="508" t="s">
        <v>344</v>
      </c>
      <c r="B116" s="572" t="s">
        <v>81</v>
      </c>
      <c r="C116" s="591" t="s">
        <v>770</v>
      </c>
      <c r="D116" s="734" t="s">
        <v>874</v>
      </c>
      <c r="E116" s="734" t="s">
        <v>769</v>
      </c>
      <c r="F116" s="734" t="s">
        <v>34</v>
      </c>
      <c r="G116" s="734"/>
      <c r="H116" s="734"/>
      <c r="I116" s="734" t="s">
        <v>57</v>
      </c>
      <c r="J116" s="544" t="s">
        <v>878</v>
      </c>
      <c r="K116" s="591"/>
      <c r="L116" s="759" t="s">
        <v>243</v>
      </c>
      <c r="M116" s="515">
        <v>20000</v>
      </c>
      <c r="N116" s="515"/>
      <c r="O116" s="515" t="s">
        <v>1076</v>
      </c>
      <c r="P116" s="515" t="s">
        <v>981</v>
      </c>
      <c r="Q116" s="807"/>
      <c r="R116" s="515" t="s">
        <v>1195</v>
      </c>
      <c r="S116" s="515"/>
      <c r="T116" s="499">
        <v>0</v>
      </c>
      <c r="U116" s="499">
        <v>0</v>
      </c>
      <c r="V116" s="499">
        <v>0</v>
      </c>
      <c r="W116" s="603">
        <v>20000</v>
      </c>
      <c r="X116" s="499">
        <v>0</v>
      </c>
      <c r="Y116" s="499">
        <f t="shared" si="3"/>
        <v>20000</v>
      </c>
      <c r="Z116" s="499">
        <v>0</v>
      </c>
      <c r="AA116" s="499">
        <v>0</v>
      </c>
      <c r="AB116" s="499">
        <v>0</v>
      </c>
      <c r="AC116" s="499">
        <f t="shared" si="4"/>
        <v>0</v>
      </c>
      <c r="AD116" s="499"/>
      <c r="AE116" s="499">
        <v>0</v>
      </c>
    </row>
    <row r="117" spans="1:31" s="553" customFormat="1" ht="315" customHeight="1">
      <c r="A117" s="549" t="s">
        <v>349</v>
      </c>
      <c r="B117" s="549" t="s">
        <v>140</v>
      </c>
      <c r="C117" s="588" t="s">
        <v>350</v>
      </c>
      <c r="D117" s="544" t="s">
        <v>772</v>
      </c>
      <c r="E117" s="544" t="s">
        <v>773</v>
      </c>
      <c r="F117" s="544" t="s">
        <v>771</v>
      </c>
      <c r="G117" s="544" t="s">
        <v>774</v>
      </c>
      <c r="H117" s="544" t="s">
        <v>775</v>
      </c>
      <c r="I117" s="544" t="s">
        <v>638</v>
      </c>
      <c r="J117" s="544" t="s">
        <v>630</v>
      </c>
      <c r="K117" s="544" t="s">
        <v>34</v>
      </c>
      <c r="L117" s="621" t="s">
        <v>243</v>
      </c>
      <c r="M117" s="542">
        <v>19500</v>
      </c>
      <c r="N117" s="542"/>
      <c r="O117" s="542" t="s">
        <v>1157</v>
      </c>
      <c r="P117" s="479" t="s">
        <v>1047</v>
      </c>
      <c r="Q117" s="812"/>
      <c r="R117" s="542" t="s">
        <v>1196</v>
      </c>
      <c r="S117" s="542"/>
      <c r="T117" s="551">
        <v>0</v>
      </c>
      <c r="U117" s="551">
        <v>0</v>
      </c>
      <c r="V117" s="551">
        <v>0</v>
      </c>
      <c r="W117" s="552">
        <v>19500</v>
      </c>
      <c r="X117" s="551">
        <v>0</v>
      </c>
      <c r="Y117" s="551">
        <f t="shared" si="3"/>
        <v>19500</v>
      </c>
      <c r="Z117" s="551">
        <v>0</v>
      </c>
      <c r="AA117" s="551">
        <v>0</v>
      </c>
      <c r="AB117" s="551">
        <v>0</v>
      </c>
      <c r="AC117" s="551">
        <f t="shared" si="4"/>
        <v>0</v>
      </c>
      <c r="AD117" s="551"/>
      <c r="AE117" s="551">
        <v>0</v>
      </c>
    </row>
    <row r="118" spans="1:31" s="547" customFormat="1" ht="292.5" customHeight="1">
      <c r="A118" s="543" t="s">
        <v>353</v>
      </c>
      <c r="B118" s="436" t="s">
        <v>140</v>
      </c>
      <c r="C118" s="432" t="s">
        <v>354</v>
      </c>
      <c r="D118" s="588" t="s">
        <v>875</v>
      </c>
      <c r="E118" s="673" t="s">
        <v>776</v>
      </c>
      <c r="F118" s="588" t="s">
        <v>777</v>
      </c>
      <c r="G118" s="588" t="s">
        <v>778</v>
      </c>
      <c r="H118" s="588" t="s">
        <v>779</v>
      </c>
      <c r="I118" s="550" t="s">
        <v>57</v>
      </c>
      <c r="J118" s="544" t="s">
        <v>878</v>
      </c>
      <c r="K118" s="432"/>
      <c r="L118" s="621" t="s">
        <v>243</v>
      </c>
      <c r="M118" s="545">
        <v>50000</v>
      </c>
      <c r="N118" s="545"/>
      <c r="O118" s="545" t="s">
        <v>1158</v>
      </c>
      <c r="P118" s="479" t="s">
        <v>1047</v>
      </c>
      <c r="Q118" s="812"/>
      <c r="R118" s="545" t="s">
        <v>1197</v>
      </c>
      <c r="S118" s="545"/>
      <c r="T118" s="533">
        <v>0</v>
      </c>
      <c r="U118" s="533">
        <v>0</v>
      </c>
      <c r="V118" s="533">
        <v>0</v>
      </c>
      <c r="W118" s="554">
        <v>50000</v>
      </c>
      <c r="X118" s="533">
        <v>0</v>
      </c>
      <c r="Y118" s="533">
        <f t="shared" si="3"/>
        <v>50000</v>
      </c>
      <c r="Z118" s="533">
        <v>0</v>
      </c>
      <c r="AA118" s="533">
        <v>0</v>
      </c>
      <c r="AB118" s="533">
        <v>0</v>
      </c>
      <c r="AC118" s="533">
        <f t="shared" si="4"/>
        <v>0</v>
      </c>
      <c r="AD118" s="533"/>
      <c r="AE118" s="533">
        <v>0</v>
      </c>
    </row>
    <row r="119" spans="1:31" s="501" customFormat="1" ht="222" customHeight="1">
      <c r="A119" s="508" t="s">
        <v>356</v>
      </c>
      <c r="B119" s="572" t="s">
        <v>357</v>
      </c>
      <c r="C119" s="70" t="s">
        <v>358</v>
      </c>
      <c r="D119" s="544" t="s">
        <v>784</v>
      </c>
      <c r="E119" s="544" t="s">
        <v>780</v>
      </c>
      <c r="F119" s="544" t="s">
        <v>781</v>
      </c>
      <c r="G119" s="544" t="s">
        <v>782</v>
      </c>
      <c r="H119" s="731" t="s">
        <v>783</v>
      </c>
      <c r="I119" s="734" t="s">
        <v>57</v>
      </c>
      <c r="J119" s="544" t="s">
        <v>704</v>
      </c>
      <c r="K119" s="70"/>
      <c r="L119" s="759" t="s">
        <v>243</v>
      </c>
      <c r="M119" s="515">
        <v>25000</v>
      </c>
      <c r="N119" s="515"/>
      <c r="O119" s="515" t="s">
        <v>989</v>
      </c>
      <c r="P119" s="515" t="s">
        <v>1033</v>
      </c>
      <c r="Q119" s="807"/>
      <c r="R119" s="515"/>
      <c r="S119" s="515"/>
      <c r="T119" s="499">
        <v>0</v>
      </c>
      <c r="U119" s="499">
        <v>0</v>
      </c>
      <c r="V119" s="499">
        <v>0</v>
      </c>
      <c r="W119" s="516">
        <v>25000</v>
      </c>
      <c r="X119" s="499">
        <v>0</v>
      </c>
      <c r="Y119" s="499">
        <f t="shared" si="3"/>
        <v>25000</v>
      </c>
      <c r="Z119" s="499">
        <v>0</v>
      </c>
      <c r="AA119" s="499">
        <v>0</v>
      </c>
      <c r="AB119" s="499">
        <v>0</v>
      </c>
      <c r="AC119" s="499">
        <f t="shared" si="4"/>
        <v>0</v>
      </c>
      <c r="AD119" s="499"/>
      <c r="AE119" s="499">
        <v>0</v>
      </c>
    </row>
    <row r="120" spans="1:31" s="547" customFormat="1" ht="236.25" customHeight="1">
      <c r="A120" s="543" t="s">
        <v>364</v>
      </c>
      <c r="B120" s="436" t="s">
        <v>365</v>
      </c>
      <c r="C120" s="432" t="s">
        <v>366</v>
      </c>
      <c r="D120" s="674" t="s">
        <v>785</v>
      </c>
      <c r="E120" s="674" t="s">
        <v>786</v>
      </c>
      <c r="F120" s="674" t="s">
        <v>789</v>
      </c>
      <c r="G120" s="674" t="s">
        <v>787</v>
      </c>
      <c r="H120" s="674" t="s">
        <v>788</v>
      </c>
      <c r="I120" s="550" t="s">
        <v>57</v>
      </c>
      <c r="J120" s="544" t="s">
        <v>639</v>
      </c>
      <c r="K120" s="432"/>
      <c r="L120" s="621" t="s">
        <v>243</v>
      </c>
      <c r="M120" s="545">
        <v>30000</v>
      </c>
      <c r="N120" s="545"/>
      <c r="O120" s="545" t="s">
        <v>1159</v>
      </c>
      <c r="P120" s="479" t="s">
        <v>1047</v>
      </c>
      <c r="Q120" s="812"/>
      <c r="R120" s="545" t="s">
        <v>1198</v>
      </c>
      <c r="S120" s="545"/>
      <c r="T120" s="533">
        <v>0</v>
      </c>
      <c r="U120" s="533">
        <v>0</v>
      </c>
      <c r="V120" s="533">
        <v>0</v>
      </c>
      <c r="W120" s="533">
        <v>30000</v>
      </c>
      <c r="X120" s="533">
        <v>0</v>
      </c>
      <c r="Y120" s="533">
        <f t="shared" si="3"/>
        <v>30000</v>
      </c>
      <c r="Z120" s="533">
        <v>0</v>
      </c>
      <c r="AA120" s="533">
        <v>0</v>
      </c>
      <c r="AB120" s="533">
        <v>0</v>
      </c>
      <c r="AC120" s="533">
        <f t="shared" si="4"/>
        <v>0</v>
      </c>
      <c r="AD120" s="533"/>
      <c r="AE120" s="533">
        <v>0</v>
      </c>
    </row>
    <row r="121" spans="1:31" s="501" customFormat="1" ht="324">
      <c r="A121" s="508" t="s">
        <v>368</v>
      </c>
      <c r="B121" s="726" t="s">
        <v>128</v>
      </c>
      <c r="C121" s="483" t="s">
        <v>369</v>
      </c>
      <c r="D121" s="675" t="s">
        <v>792</v>
      </c>
      <c r="E121" s="675" t="s">
        <v>793</v>
      </c>
      <c r="F121" s="675" t="s">
        <v>794</v>
      </c>
      <c r="G121" s="675" t="s">
        <v>794</v>
      </c>
      <c r="H121" s="675" t="s">
        <v>790</v>
      </c>
      <c r="I121" s="675" t="s">
        <v>638</v>
      </c>
      <c r="J121" s="544" t="s">
        <v>791</v>
      </c>
      <c r="K121" s="483"/>
      <c r="L121" s="759" t="s">
        <v>243</v>
      </c>
      <c r="M121" s="515">
        <v>75000</v>
      </c>
      <c r="N121" s="515"/>
      <c r="O121" s="515" t="s">
        <v>1160</v>
      </c>
      <c r="P121" s="515" t="s">
        <v>1034</v>
      </c>
      <c r="Q121" s="954"/>
      <c r="R121" s="675" t="s">
        <v>1035</v>
      </c>
      <c r="S121" s="515"/>
      <c r="T121" s="499">
        <v>0</v>
      </c>
      <c r="U121" s="499">
        <v>0</v>
      </c>
      <c r="V121" s="499">
        <v>0</v>
      </c>
      <c r="W121" s="499">
        <v>75000</v>
      </c>
      <c r="X121" s="499">
        <v>0</v>
      </c>
      <c r="Y121" s="499">
        <f t="shared" si="3"/>
        <v>75000</v>
      </c>
      <c r="Z121" s="499">
        <v>0</v>
      </c>
      <c r="AA121" s="499">
        <v>0</v>
      </c>
      <c r="AB121" s="499">
        <v>0</v>
      </c>
      <c r="AC121" s="499">
        <f t="shared" si="4"/>
        <v>0</v>
      </c>
      <c r="AD121" s="499"/>
      <c r="AE121" s="499">
        <v>0</v>
      </c>
    </row>
    <row r="122" spans="1:31" s="547" customFormat="1" ht="241.5" customHeight="1">
      <c r="A122" s="543" t="s">
        <v>375</v>
      </c>
      <c r="B122" s="410" t="s">
        <v>41</v>
      </c>
      <c r="C122" s="415" t="s">
        <v>376</v>
      </c>
      <c r="D122" s="656" t="s">
        <v>795</v>
      </c>
      <c r="E122" s="656" t="s">
        <v>798</v>
      </c>
      <c r="F122" s="656" t="s">
        <v>796</v>
      </c>
      <c r="G122" s="656" t="s">
        <v>797</v>
      </c>
      <c r="H122" s="656" t="s">
        <v>519</v>
      </c>
      <c r="I122" s="656" t="s">
        <v>624</v>
      </c>
      <c r="J122" s="505" t="s">
        <v>791</v>
      </c>
      <c r="K122" s="415"/>
      <c r="L122" s="621" t="s">
        <v>243</v>
      </c>
      <c r="M122" s="545">
        <v>5000</v>
      </c>
      <c r="N122" s="545"/>
      <c r="O122" s="545" t="s">
        <v>1161</v>
      </c>
      <c r="P122" s="479" t="s">
        <v>1047</v>
      </c>
      <c r="Q122" s="812"/>
      <c r="R122" s="545" t="s">
        <v>1199</v>
      </c>
      <c r="S122" s="545" t="s">
        <v>1200</v>
      </c>
      <c r="T122" s="533">
        <v>0</v>
      </c>
      <c r="U122" s="533">
        <v>0</v>
      </c>
      <c r="V122" s="533">
        <v>0</v>
      </c>
      <c r="W122" s="533">
        <v>5000</v>
      </c>
      <c r="X122" s="533">
        <v>0</v>
      </c>
      <c r="Y122" s="533">
        <f t="shared" si="3"/>
        <v>5000</v>
      </c>
      <c r="Z122" s="533">
        <v>0</v>
      </c>
      <c r="AA122" s="533">
        <v>0</v>
      </c>
      <c r="AB122" s="533">
        <v>0</v>
      </c>
      <c r="AC122" s="533">
        <f t="shared" si="4"/>
        <v>0</v>
      </c>
      <c r="AD122" s="533"/>
      <c r="AE122" s="533">
        <v>0</v>
      </c>
    </row>
    <row r="123" spans="1:31" s="547" customFormat="1" ht="273" customHeight="1">
      <c r="A123" s="543" t="s">
        <v>380</v>
      </c>
      <c r="B123" s="410" t="s">
        <v>41</v>
      </c>
      <c r="C123" s="415" t="s">
        <v>381</v>
      </c>
      <c r="D123" s="544" t="s">
        <v>799</v>
      </c>
      <c r="E123" s="544" t="s">
        <v>801</v>
      </c>
      <c r="F123" s="544" t="s">
        <v>800</v>
      </c>
      <c r="G123" s="544" t="s">
        <v>802</v>
      </c>
      <c r="H123" s="544" t="s">
        <v>803</v>
      </c>
      <c r="I123" s="656" t="s">
        <v>57</v>
      </c>
      <c r="J123" s="506" t="s">
        <v>791</v>
      </c>
      <c r="K123" s="415"/>
      <c r="L123" s="621" t="s">
        <v>243</v>
      </c>
      <c r="M123" s="545">
        <v>25000</v>
      </c>
      <c r="N123" s="545"/>
      <c r="O123" s="545" t="s">
        <v>1162</v>
      </c>
      <c r="P123" s="479" t="s">
        <v>1047</v>
      </c>
      <c r="Q123" s="812"/>
      <c r="R123" s="545" t="s">
        <v>1201</v>
      </c>
      <c r="S123" s="545"/>
      <c r="T123" s="533">
        <v>0</v>
      </c>
      <c r="U123" s="533">
        <v>0</v>
      </c>
      <c r="V123" s="533">
        <v>0</v>
      </c>
      <c r="W123" s="533">
        <v>25000</v>
      </c>
      <c r="X123" s="533">
        <v>0</v>
      </c>
      <c r="Y123" s="533">
        <f t="shared" si="3"/>
        <v>25000</v>
      </c>
      <c r="Z123" s="533">
        <v>0</v>
      </c>
      <c r="AA123" s="533">
        <v>0</v>
      </c>
      <c r="AB123" s="533">
        <v>0</v>
      </c>
      <c r="AC123" s="533">
        <f t="shared" si="4"/>
        <v>0</v>
      </c>
      <c r="AD123" s="533"/>
      <c r="AE123" s="533">
        <v>0</v>
      </c>
    </row>
    <row r="124" spans="1:31" s="547" customFormat="1" ht="148.5" customHeight="1">
      <c r="A124" s="543" t="s">
        <v>383</v>
      </c>
      <c r="B124" s="436" t="s">
        <v>181</v>
      </c>
      <c r="C124" s="432" t="s">
        <v>566</v>
      </c>
      <c r="D124" s="544" t="s">
        <v>804</v>
      </c>
      <c r="E124" s="544" t="s">
        <v>807</v>
      </c>
      <c r="F124" s="544" t="s">
        <v>808</v>
      </c>
      <c r="G124" s="544" t="s">
        <v>805</v>
      </c>
      <c r="H124" s="544" t="s">
        <v>809</v>
      </c>
      <c r="I124" s="544" t="s">
        <v>810</v>
      </c>
      <c r="J124" s="503" t="s">
        <v>806</v>
      </c>
      <c r="K124" s="432"/>
      <c r="L124" s="621" t="s">
        <v>243</v>
      </c>
      <c r="M124" s="545">
        <v>40000</v>
      </c>
      <c r="N124" s="545"/>
      <c r="O124" s="545" t="s">
        <v>1163</v>
      </c>
      <c r="P124" s="479" t="s">
        <v>1047</v>
      </c>
      <c r="Q124" s="812"/>
      <c r="R124" s="545" t="s">
        <v>1197</v>
      </c>
      <c r="S124" s="545"/>
      <c r="T124" s="533">
        <v>0</v>
      </c>
      <c r="U124" s="533">
        <v>0</v>
      </c>
      <c r="V124" s="533">
        <v>0</v>
      </c>
      <c r="W124" s="554">
        <v>40000</v>
      </c>
      <c r="X124" s="533">
        <v>0</v>
      </c>
      <c r="Y124" s="533">
        <f t="shared" si="3"/>
        <v>40000</v>
      </c>
      <c r="Z124" s="533">
        <v>0</v>
      </c>
      <c r="AA124" s="533">
        <v>0</v>
      </c>
      <c r="AB124" s="533">
        <v>0</v>
      </c>
      <c r="AC124" s="533">
        <f t="shared" si="4"/>
        <v>0</v>
      </c>
      <c r="AD124" s="533"/>
      <c r="AE124" s="533">
        <v>0</v>
      </c>
    </row>
    <row r="125" spans="1:31" s="501" customFormat="1" ht="362.25" customHeight="1">
      <c r="A125" s="508" t="s">
        <v>388</v>
      </c>
      <c r="B125" s="726" t="s">
        <v>45</v>
      </c>
      <c r="C125" s="483" t="s">
        <v>834</v>
      </c>
      <c r="D125" s="734" t="s">
        <v>994</v>
      </c>
      <c r="E125" s="653" t="s">
        <v>995</v>
      </c>
      <c r="F125" s="734" t="s">
        <v>996</v>
      </c>
      <c r="G125" s="654" t="s">
        <v>996</v>
      </c>
      <c r="H125" s="734" t="s">
        <v>992</v>
      </c>
      <c r="I125" s="734" t="s">
        <v>993</v>
      </c>
      <c r="J125" s="503" t="s">
        <v>882</v>
      </c>
      <c r="K125" s="483"/>
      <c r="L125" s="759" t="s">
        <v>243</v>
      </c>
      <c r="M125" s="515">
        <v>10000</v>
      </c>
      <c r="N125" s="515"/>
      <c r="O125" s="515" t="s">
        <v>1139</v>
      </c>
      <c r="P125" s="515" t="s">
        <v>997</v>
      </c>
      <c r="Q125" s="807"/>
      <c r="R125" s="515" t="s">
        <v>989</v>
      </c>
      <c r="S125" s="515" t="s">
        <v>990</v>
      </c>
      <c r="T125" s="499">
        <v>0</v>
      </c>
      <c r="U125" s="499">
        <v>0</v>
      </c>
      <c r="V125" s="499">
        <v>0</v>
      </c>
      <c r="W125" s="499">
        <v>10000</v>
      </c>
      <c r="X125" s="499">
        <v>0</v>
      </c>
      <c r="Y125" s="499">
        <f t="shared" si="3"/>
        <v>10000</v>
      </c>
      <c r="Z125" s="499">
        <v>0</v>
      </c>
      <c r="AA125" s="499">
        <v>0</v>
      </c>
      <c r="AB125" s="499">
        <v>0</v>
      </c>
      <c r="AC125" s="499">
        <f t="shared" si="4"/>
        <v>0</v>
      </c>
      <c r="AD125" s="499"/>
      <c r="AE125" s="499">
        <v>0</v>
      </c>
    </row>
    <row r="126" spans="1:31" s="773" customFormat="1" ht="166.5" customHeight="1">
      <c r="A126" s="508" t="s">
        <v>390</v>
      </c>
      <c r="B126" s="726" t="s">
        <v>128</v>
      </c>
      <c r="C126" s="483" t="s">
        <v>883</v>
      </c>
      <c r="D126" s="544" t="s">
        <v>812</v>
      </c>
      <c r="E126" s="544" t="s">
        <v>811</v>
      </c>
      <c r="F126" s="544" t="s">
        <v>815</v>
      </c>
      <c r="G126" s="544" t="s">
        <v>612</v>
      </c>
      <c r="H126" s="544" t="s">
        <v>813</v>
      </c>
      <c r="I126" s="544" t="s">
        <v>814</v>
      </c>
      <c r="J126" s="504" t="s">
        <v>791</v>
      </c>
      <c r="K126" s="483"/>
      <c r="L126" s="759" t="s">
        <v>243</v>
      </c>
      <c r="M126" s="602">
        <v>80000</v>
      </c>
      <c r="N126" s="602"/>
      <c r="O126" s="602" t="s">
        <v>1043</v>
      </c>
      <c r="P126" s="603" t="s">
        <v>646</v>
      </c>
      <c r="Q126" s="785"/>
      <c r="R126" s="602" t="s">
        <v>1044</v>
      </c>
      <c r="S126" s="602"/>
      <c r="T126" s="499">
        <v>0</v>
      </c>
      <c r="U126" s="499">
        <v>0</v>
      </c>
      <c r="V126" s="499">
        <v>0</v>
      </c>
      <c r="W126" s="772">
        <v>80000</v>
      </c>
      <c r="X126" s="499">
        <v>0</v>
      </c>
      <c r="Y126" s="499">
        <f t="shared" si="3"/>
        <v>80000</v>
      </c>
      <c r="Z126" s="499">
        <v>0</v>
      </c>
      <c r="AA126" s="499">
        <v>0</v>
      </c>
      <c r="AB126" s="499">
        <v>0</v>
      </c>
      <c r="AC126" s="499">
        <f t="shared" si="4"/>
        <v>0</v>
      </c>
      <c r="AD126" s="499"/>
      <c r="AE126" s="499">
        <v>0</v>
      </c>
    </row>
    <row r="127" spans="1:31" s="557" customFormat="1" ht="183.75" customHeight="1">
      <c r="A127" s="558" t="s">
        <v>393</v>
      </c>
      <c r="B127" s="415" t="s">
        <v>128</v>
      </c>
      <c r="C127" s="415" t="s">
        <v>394</v>
      </c>
      <c r="D127" s="656" t="s">
        <v>899</v>
      </c>
      <c r="E127" s="656" t="s">
        <v>816</v>
      </c>
      <c r="F127" s="656" t="s">
        <v>900</v>
      </c>
      <c r="G127" s="656" t="s">
        <v>655</v>
      </c>
      <c r="H127" s="656" t="s">
        <v>519</v>
      </c>
      <c r="I127" s="656" t="s">
        <v>57</v>
      </c>
      <c r="J127" s="506" t="s">
        <v>630</v>
      </c>
      <c r="K127" s="415"/>
      <c r="L127" s="621" t="s">
        <v>243</v>
      </c>
      <c r="M127" s="556">
        <v>27000</v>
      </c>
      <c r="N127" s="556"/>
      <c r="O127" s="556" t="s">
        <v>1139</v>
      </c>
      <c r="P127" s="479" t="s">
        <v>1164</v>
      </c>
      <c r="Q127" s="813"/>
      <c r="R127" s="556" t="s">
        <v>989</v>
      </c>
      <c r="S127" s="556"/>
      <c r="T127" s="533">
        <v>0</v>
      </c>
      <c r="U127" s="533">
        <v>0</v>
      </c>
      <c r="V127" s="533">
        <v>0</v>
      </c>
      <c r="W127" s="533">
        <v>27000</v>
      </c>
      <c r="X127" s="533">
        <v>0</v>
      </c>
      <c r="Y127" s="533">
        <f t="shared" si="3"/>
        <v>27000</v>
      </c>
      <c r="Z127" s="533">
        <v>0</v>
      </c>
      <c r="AA127" s="533">
        <v>0</v>
      </c>
      <c r="AB127" s="533">
        <v>0</v>
      </c>
      <c r="AC127" s="533">
        <f t="shared" si="4"/>
        <v>0</v>
      </c>
      <c r="AD127" s="533"/>
      <c r="AE127" s="533">
        <v>0</v>
      </c>
    </row>
    <row r="128" spans="1:31" s="547" customFormat="1" ht="313.5" customHeight="1">
      <c r="A128" s="740" t="s">
        <v>397</v>
      </c>
      <c r="B128" s="741" t="s">
        <v>55</v>
      </c>
      <c r="C128" s="70" t="s">
        <v>857</v>
      </c>
      <c r="D128" s="655" t="s">
        <v>618</v>
      </c>
      <c r="E128" s="544" t="s">
        <v>817</v>
      </c>
      <c r="F128" s="655" t="s">
        <v>818</v>
      </c>
      <c r="G128" s="544" t="s">
        <v>617</v>
      </c>
      <c r="H128" s="544" t="s">
        <v>819</v>
      </c>
      <c r="I128" s="544" t="s">
        <v>57</v>
      </c>
      <c r="J128" s="506" t="s">
        <v>639</v>
      </c>
      <c r="K128" s="432"/>
      <c r="L128" s="621" t="s">
        <v>243</v>
      </c>
      <c r="M128" s="545">
        <v>50000</v>
      </c>
      <c r="N128" s="545" t="s">
        <v>1056</v>
      </c>
      <c r="O128" s="545" t="s">
        <v>1165</v>
      </c>
      <c r="P128" s="737" t="s">
        <v>1202</v>
      </c>
      <c r="Q128" s="955"/>
      <c r="R128" s="545"/>
      <c r="S128" s="545"/>
      <c r="T128" s="542">
        <v>0</v>
      </c>
      <c r="U128" s="542">
        <v>0</v>
      </c>
      <c r="V128" s="542">
        <v>0</v>
      </c>
      <c r="W128" s="554">
        <v>50000</v>
      </c>
      <c r="X128" s="542">
        <v>0</v>
      </c>
      <c r="Y128" s="542">
        <f t="shared" si="3"/>
        <v>50000</v>
      </c>
      <c r="Z128" s="533">
        <v>0</v>
      </c>
      <c r="AA128" s="533">
        <v>0</v>
      </c>
      <c r="AB128" s="533">
        <v>0</v>
      </c>
      <c r="AC128" s="533">
        <f t="shared" si="4"/>
        <v>0</v>
      </c>
      <c r="AD128" s="533"/>
      <c r="AE128" s="533">
        <v>0</v>
      </c>
    </row>
    <row r="129" spans="1:31" s="547" customFormat="1" ht="253.5" customHeight="1">
      <c r="A129" s="543" t="s">
        <v>400</v>
      </c>
      <c r="B129" s="436" t="s">
        <v>101</v>
      </c>
      <c r="C129" s="432" t="s">
        <v>401</v>
      </c>
      <c r="D129" s="656" t="s">
        <v>822</v>
      </c>
      <c r="E129" s="656" t="s">
        <v>820</v>
      </c>
      <c r="F129" s="656" t="s">
        <v>821</v>
      </c>
      <c r="G129" s="656" t="s">
        <v>821</v>
      </c>
      <c r="H129" s="656" t="s">
        <v>823</v>
      </c>
      <c r="I129" s="656" t="s">
        <v>57</v>
      </c>
      <c r="J129" s="506" t="s">
        <v>741</v>
      </c>
      <c r="K129" s="432"/>
      <c r="L129" s="621" t="s">
        <v>243</v>
      </c>
      <c r="M129" s="556">
        <v>40000</v>
      </c>
      <c r="N129" s="556"/>
      <c r="O129" s="556" t="s">
        <v>1139</v>
      </c>
      <c r="P129" s="602" t="s">
        <v>1059</v>
      </c>
      <c r="Q129" s="841"/>
      <c r="R129" s="556"/>
      <c r="S129" s="556"/>
      <c r="T129" s="533">
        <v>0</v>
      </c>
      <c r="U129" s="533">
        <v>0</v>
      </c>
      <c r="V129" s="533">
        <v>0</v>
      </c>
      <c r="W129" s="554">
        <v>40000</v>
      </c>
      <c r="X129" s="533">
        <v>0</v>
      </c>
      <c r="Y129" s="533">
        <f t="shared" si="3"/>
        <v>40000</v>
      </c>
      <c r="Z129" s="533">
        <v>0</v>
      </c>
      <c r="AA129" s="533">
        <v>0</v>
      </c>
      <c r="AB129" s="533">
        <v>0</v>
      </c>
      <c r="AC129" s="533">
        <f t="shared" si="4"/>
        <v>0</v>
      </c>
      <c r="AD129" s="533"/>
      <c r="AE129" s="533">
        <v>0</v>
      </c>
    </row>
    <row r="130" spans="1:31" s="547" customFormat="1" ht="186" customHeight="1">
      <c r="A130" s="543" t="s">
        <v>403</v>
      </c>
      <c r="B130" s="436" t="s">
        <v>101</v>
      </c>
      <c r="C130" s="432" t="s">
        <v>404</v>
      </c>
      <c r="D130" s="656" t="s">
        <v>830</v>
      </c>
      <c r="E130" s="656" t="s">
        <v>831</v>
      </c>
      <c r="F130" s="656" t="s">
        <v>832</v>
      </c>
      <c r="G130" s="656" t="s">
        <v>829</v>
      </c>
      <c r="H130" s="656" t="s">
        <v>519</v>
      </c>
      <c r="I130" s="544" t="s">
        <v>833</v>
      </c>
      <c r="J130" s="506" t="s">
        <v>741</v>
      </c>
      <c r="K130" s="432"/>
      <c r="L130" s="621" t="s">
        <v>243</v>
      </c>
      <c r="M130" s="556">
        <v>10000</v>
      </c>
      <c r="N130" s="556"/>
      <c r="O130" s="556" t="s">
        <v>1139</v>
      </c>
      <c r="P130" s="602" t="s">
        <v>1060</v>
      </c>
      <c r="Q130" s="954"/>
      <c r="R130" s="838" t="s">
        <v>826</v>
      </c>
      <c r="S130" s="556"/>
      <c r="T130" s="533">
        <v>0</v>
      </c>
      <c r="U130" s="533">
        <v>0</v>
      </c>
      <c r="V130" s="533">
        <v>0</v>
      </c>
      <c r="W130" s="554">
        <v>10000</v>
      </c>
      <c r="X130" s="533">
        <v>0</v>
      </c>
      <c r="Y130" s="533">
        <f t="shared" si="3"/>
        <v>10000</v>
      </c>
      <c r="Z130" s="533">
        <v>0</v>
      </c>
      <c r="AA130" s="533">
        <v>0</v>
      </c>
      <c r="AB130" s="533">
        <v>0</v>
      </c>
      <c r="AC130" s="533">
        <f t="shared" si="4"/>
        <v>0</v>
      </c>
      <c r="AD130" s="533"/>
      <c r="AE130" s="533">
        <v>0</v>
      </c>
    </row>
    <row r="131" spans="1:31" s="547" customFormat="1" ht="225" customHeight="1">
      <c r="A131" s="543" t="s">
        <v>405</v>
      </c>
      <c r="B131" s="436" t="s">
        <v>101</v>
      </c>
      <c r="C131" s="432" t="s">
        <v>406</v>
      </c>
      <c r="D131" s="668" t="s">
        <v>824</v>
      </c>
      <c r="E131" s="668" t="s">
        <v>825</v>
      </c>
      <c r="F131" s="668" t="s">
        <v>826</v>
      </c>
      <c r="G131" s="668" t="s">
        <v>827</v>
      </c>
      <c r="H131" s="668" t="s">
        <v>828</v>
      </c>
      <c r="I131" s="668" t="s">
        <v>57</v>
      </c>
      <c r="J131" s="548" t="s">
        <v>741</v>
      </c>
      <c r="K131" s="432"/>
      <c r="L131" s="621" t="s">
        <v>243</v>
      </c>
      <c r="M131" s="556">
        <v>46500</v>
      </c>
      <c r="N131" s="556"/>
      <c r="O131" s="556" t="s">
        <v>1166</v>
      </c>
      <c r="P131" s="602" t="s">
        <v>1060</v>
      </c>
      <c r="Q131" s="954"/>
      <c r="R131" s="931" t="s">
        <v>826</v>
      </c>
      <c r="S131" s="556"/>
      <c r="T131" s="533">
        <v>0</v>
      </c>
      <c r="U131" s="533">
        <v>0</v>
      </c>
      <c r="V131" s="533">
        <v>0</v>
      </c>
      <c r="W131" s="554">
        <v>46500</v>
      </c>
      <c r="X131" s="533">
        <v>0</v>
      </c>
      <c r="Y131" s="533">
        <f t="shared" si="3"/>
        <v>46500</v>
      </c>
      <c r="Z131" s="533">
        <v>0</v>
      </c>
      <c r="AA131" s="533">
        <v>0</v>
      </c>
      <c r="AB131" s="533">
        <v>0</v>
      </c>
      <c r="AC131" s="533">
        <f t="shared" si="4"/>
        <v>0</v>
      </c>
      <c r="AD131" s="533"/>
      <c r="AE131" s="533">
        <v>0</v>
      </c>
    </row>
    <row r="132" spans="1:31" s="547" customFormat="1" ht="54">
      <c r="A132" s="558" t="s">
        <v>407</v>
      </c>
      <c r="B132" s="555" t="s">
        <v>357</v>
      </c>
      <c r="C132" s="555" t="s">
        <v>408</v>
      </c>
      <c r="D132" s="676"/>
      <c r="E132" s="677"/>
      <c r="F132" s="676"/>
      <c r="G132" s="676"/>
      <c r="H132" s="676"/>
      <c r="I132" s="656" t="s">
        <v>57</v>
      </c>
      <c r="J132" s="506" t="s">
        <v>884</v>
      </c>
      <c r="K132" s="559"/>
      <c r="L132" s="560" t="s">
        <v>854</v>
      </c>
      <c r="M132" s="556">
        <v>482000</v>
      </c>
      <c r="N132" s="556"/>
      <c r="O132" s="556"/>
      <c r="P132" s="556"/>
      <c r="Q132" s="808"/>
      <c r="R132" s="556"/>
      <c r="S132" s="556"/>
      <c r="T132" s="556"/>
      <c r="U132" s="561"/>
      <c r="V132" s="561"/>
      <c r="W132" s="561"/>
      <c r="X132" s="561"/>
      <c r="Y132" s="561"/>
      <c r="Z132" s="561"/>
      <c r="AA132" s="561"/>
      <c r="AB132" s="533"/>
      <c r="AC132" s="533"/>
      <c r="AD132" s="533"/>
      <c r="AE132" s="533"/>
    </row>
    <row r="133" spans="1:31" s="547" customFormat="1" ht="54">
      <c r="A133" s="562" t="s">
        <v>409</v>
      </c>
      <c r="B133" s="432" t="s">
        <v>357</v>
      </c>
      <c r="C133" s="432" t="s">
        <v>410</v>
      </c>
      <c r="D133" s="678"/>
      <c r="E133" s="679"/>
      <c r="F133" s="678"/>
      <c r="G133" s="678"/>
      <c r="H133" s="676"/>
      <c r="I133" s="656" t="s">
        <v>57</v>
      </c>
      <c r="J133" s="506" t="s">
        <v>885</v>
      </c>
      <c r="K133" s="563"/>
      <c r="L133" s="560" t="s">
        <v>854</v>
      </c>
      <c r="M133" s="545">
        <v>30000</v>
      </c>
      <c r="N133" s="545"/>
      <c r="O133" s="545"/>
      <c r="P133" s="545"/>
      <c r="Q133" s="806"/>
      <c r="R133" s="545"/>
      <c r="S133" s="545"/>
      <c r="T133" s="545"/>
      <c r="U133" s="554"/>
      <c r="V133" s="554"/>
      <c r="W133" s="554"/>
      <c r="X133" s="554"/>
      <c r="Y133" s="554"/>
      <c r="Z133" s="554"/>
      <c r="AA133" s="554"/>
      <c r="AB133" s="542"/>
      <c r="AC133" s="542"/>
      <c r="AD133" s="542"/>
      <c r="AE133" s="542"/>
    </row>
    <row r="134" spans="1:31" s="547" customFormat="1" ht="86.25" customHeight="1">
      <c r="A134" s="558" t="s">
        <v>411</v>
      </c>
      <c r="B134" s="432" t="s">
        <v>357</v>
      </c>
      <c r="C134" s="432" t="s">
        <v>412</v>
      </c>
      <c r="D134" s="678"/>
      <c r="E134" s="679"/>
      <c r="F134" s="678"/>
      <c r="G134" s="678"/>
      <c r="H134" s="676"/>
      <c r="I134" s="656" t="s">
        <v>57</v>
      </c>
      <c r="J134" s="506" t="s">
        <v>886</v>
      </c>
      <c r="K134" s="563"/>
      <c r="L134" s="560" t="s">
        <v>854</v>
      </c>
      <c r="M134" s="545">
        <v>320000</v>
      </c>
      <c r="N134" s="545"/>
      <c r="O134" s="545"/>
      <c r="P134" s="545"/>
      <c r="Q134" s="806"/>
      <c r="R134" s="545"/>
      <c r="S134" s="545"/>
      <c r="T134" s="545"/>
      <c r="U134" s="554"/>
      <c r="V134" s="554"/>
      <c r="W134" s="554"/>
      <c r="X134" s="554"/>
      <c r="Y134" s="554"/>
      <c r="Z134" s="554"/>
      <c r="AA134" s="554"/>
      <c r="AB134" s="533"/>
      <c r="AC134" s="533"/>
      <c r="AD134" s="533"/>
      <c r="AE134" s="533"/>
    </row>
    <row r="135" spans="1:31" s="547" customFormat="1" ht="81.75" customHeight="1">
      <c r="A135" s="562" t="s">
        <v>413</v>
      </c>
      <c r="B135" s="432" t="s">
        <v>41</v>
      </c>
      <c r="C135" s="432" t="s">
        <v>414</v>
      </c>
      <c r="D135" s="678"/>
      <c r="E135" s="679"/>
      <c r="F135" s="678"/>
      <c r="G135" s="678"/>
      <c r="H135" s="678"/>
      <c r="I135" s="656" t="s">
        <v>57</v>
      </c>
      <c r="J135" s="506" t="s">
        <v>630</v>
      </c>
      <c r="K135" s="563"/>
      <c r="L135" s="560" t="s">
        <v>854</v>
      </c>
      <c r="M135" s="545">
        <v>420000</v>
      </c>
      <c r="N135" s="545"/>
      <c r="O135" s="545"/>
      <c r="P135" s="545" t="s">
        <v>1203</v>
      </c>
      <c r="Q135" s="806"/>
      <c r="R135" s="545"/>
      <c r="S135" s="545"/>
      <c r="T135" s="545"/>
      <c r="U135" s="554"/>
      <c r="V135" s="554"/>
      <c r="W135" s="554"/>
      <c r="X135" s="554"/>
      <c r="Y135" s="554"/>
      <c r="Z135" s="554"/>
      <c r="AA135" s="554"/>
      <c r="AB135" s="542"/>
      <c r="AC135" s="542"/>
      <c r="AD135" s="542"/>
      <c r="AE135" s="542"/>
    </row>
    <row r="136" spans="1:31" s="263" customFormat="1" ht="31.5">
      <c r="A136" s="258" t="s">
        <v>958</v>
      </c>
      <c r="B136" s="259"/>
      <c r="C136" s="260"/>
      <c r="D136" s="680"/>
      <c r="E136" s="680"/>
      <c r="F136" s="680"/>
      <c r="G136" s="680"/>
      <c r="H136" s="680"/>
      <c r="I136" s="680"/>
      <c r="J136" s="260"/>
      <c r="K136" s="260"/>
      <c r="L136" s="260"/>
      <c r="M136" s="364" t="s">
        <v>34</v>
      </c>
      <c r="N136" s="364"/>
      <c r="O136" s="364"/>
      <c r="P136" s="364"/>
      <c r="Q136" s="809"/>
      <c r="R136" s="364"/>
      <c r="S136" s="364"/>
      <c r="T136" s="259"/>
      <c r="U136" s="259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2"/>
    </row>
    <row r="137" spans="1:31" s="547" customFormat="1" ht="63">
      <c r="A137" s="543" t="s">
        <v>959</v>
      </c>
      <c r="B137" s="491" t="s">
        <v>577</v>
      </c>
      <c r="C137" s="491" t="s">
        <v>594</v>
      </c>
      <c r="D137" s="697"/>
      <c r="E137" s="697"/>
      <c r="F137" s="697"/>
      <c r="G137" s="697"/>
      <c r="H137" s="697"/>
      <c r="I137" s="656" t="s">
        <v>57</v>
      </c>
      <c r="J137" s="506" t="s">
        <v>725</v>
      </c>
      <c r="K137" s="491"/>
      <c r="L137" s="491" t="s">
        <v>855</v>
      </c>
      <c r="M137" s="556">
        <f>T137+U137+Y137+Z137+AC137+AE137</f>
        <v>980000</v>
      </c>
      <c r="N137" s="556"/>
      <c r="O137" s="556" t="s">
        <v>989</v>
      </c>
      <c r="P137" s="479" t="s">
        <v>1047</v>
      </c>
      <c r="Q137" s="813"/>
      <c r="R137" s="556"/>
      <c r="S137" s="556"/>
      <c r="T137" s="533">
        <v>0</v>
      </c>
      <c r="U137" s="533">
        <v>0</v>
      </c>
      <c r="V137" s="533">
        <v>0</v>
      </c>
      <c r="W137" s="554">
        <v>0</v>
      </c>
      <c r="X137" s="533">
        <v>0</v>
      </c>
      <c r="Y137" s="533">
        <v>0</v>
      </c>
      <c r="Z137" s="533">
        <v>0</v>
      </c>
      <c r="AA137" s="569">
        <v>980000</v>
      </c>
      <c r="AB137" s="533">
        <v>0</v>
      </c>
      <c r="AC137" s="533">
        <f>AA137+AB137</f>
        <v>980000</v>
      </c>
      <c r="AD137" s="533"/>
      <c r="AE137" s="533">
        <v>0</v>
      </c>
    </row>
    <row r="138" spans="1:31" s="547" customFormat="1" ht="63">
      <c r="A138" s="558" t="s">
        <v>960</v>
      </c>
      <c r="B138" s="491" t="s">
        <v>577</v>
      </c>
      <c r="C138" s="491" t="s">
        <v>595</v>
      </c>
      <c r="D138" s="697"/>
      <c r="E138" s="697"/>
      <c r="F138" s="697"/>
      <c r="G138" s="697"/>
      <c r="H138" s="697"/>
      <c r="I138" s="656" t="s">
        <v>57</v>
      </c>
      <c r="J138" s="506" t="s">
        <v>639</v>
      </c>
      <c r="K138" s="491"/>
      <c r="L138" s="491" t="s">
        <v>856</v>
      </c>
      <c r="M138" s="569">
        <v>500000</v>
      </c>
      <c r="N138" s="569"/>
      <c r="O138" s="569" t="s">
        <v>989</v>
      </c>
      <c r="P138" s="479" t="s">
        <v>1047</v>
      </c>
      <c r="Q138" s="813"/>
      <c r="R138" s="569"/>
      <c r="S138" s="569"/>
      <c r="T138" s="533">
        <v>0</v>
      </c>
      <c r="U138" s="533">
        <v>0</v>
      </c>
      <c r="V138" s="533">
        <v>0</v>
      </c>
      <c r="W138" s="554">
        <v>0</v>
      </c>
      <c r="X138" s="533">
        <v>0</v>
      </c>
      <c r="Y138" s="533">
        <v>0</v>
      </c>
      <c r="Z138" s="533">
        <v>0</v>
      </c>
      <c r="AA138" s="569">
        <v>0</v>
      </c>
      <c r="AB138" s="569">
        <v>500000</v>
      </c>
      <c r="AC138" s="533">
        <f>AA138+AB138</f>
        <v>500000</v>
      </c>
      <c r="AD138" s="533"/>
      <c r="AE138" s="533">
        <v>0</v>
      </c>
    </row>
    <row r="139" spans="1:31" s="547" customFormat="1" ht="54">
      <c r="A139" s="920" t="s">
        <v>1168</v>
      </c>
      <c r="B139" s="911" t="s">
        <v>41</v>
      </c>
      <c r="C139" s="899" t="s">
        <v>1167</v>
      </c>
      <c r="D139" s="921"/>
      <c r="E139" s="922"/>
      <c r="F139" s="921"/>
      <c r="G139" s="921"/>
      <c r="H139" s="921"/>
      <c r="I139" s="923" t="s">
        <v>57</v>
      </c>
      <c r="J139" s="924" t="s">
        <v>630</v>
      </c>
      <c r="K139" s="925"/>
      <c r="L139" s="926" t="s">
        <v>854</v>
      </c>
      <c r="M139" s="603">
        <v>16500</v>
      </c>
      <c r="N139" s="569"/>
      <c r="O139" s="518">
        <v>10980</v>
      </c>
      <c r="P139" s="574" t="s">
        <v>1169</v>
      </c>
      <c r="Q139" s="815"/>
      <c r="R139" s="569"/>
      <c r="S139" s="569"/>
      <c r="T139" s="917"/>
      <c r="U139" s="917"/>
      <c r="V139" s="917"/>
      <c r="W139" s="918"/>
      <c r="X139" s="917"/>
      <c r="Y139" s="917"/>
      <c r="Z139" s="917"/>
      <c r="AA139" s="916"/>
      <c r="AB139" s="916"/>
      <c r="AC139" s="917"/>
      <c r="AD139" s="917"/>
      <c r="AE139" s="919"/>
    </row>
    <row r="140" spans="1:31" s="263" customFormat="1" ht="31.5">
      <c r="A140" s="258" t="s">
        <v>415</v>
      </c>
      <c r="B140" s="259"/>
      <c r="C140" s="260"/>
      <c r="D140" s="680"/>
      <c r="E140" s="680"/>
      <c r="F140" s="680"/>
      <c r="G140" s="680"/>
      <c r="H140" s="680"/>
      <c r="I140" s="680"/>
      <c r="J140" s="260"/>
      <c r="K140" s="260"/>
      <c r="L140" s="260"/>
      <c r="M140" s="350" t="s">
        <v>34</v>
      </c>
      <c r="N140" s="350"/>
      <c r="O140" s="350"/>
      <c r="P140" s="350"/>
      <c r="Q140" s="810"/>
      <c r="R140" s="350"/>
      <c r="S140" s="350"/>
      <c r="T140" s="259"/>
      <c r="U140" s="259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2"/>
    </row>
    <row r="141" spans="1:31" s="179" customFormat="1" ht="23.25">
      <c r="A141" s="356" t="s">
        <v>416</v>
      </c>
      <c r="B141" s="344"/>
      <c r="C141" s="361"/>
      <c r="D141" s="681"/>
      <c r="E141" s="681"/>
      <c r="F141" s="681"/>
      <c r="G141" s="681"/>
      <c r="H141" s="681"/>
      <c r="I141" s="681"/>
      <c r="J141" s="361"/>
      <c r="K141" s="361"/>
      <c r="L141" s="361"/>
      <c r="M141" s="362">
        <f>SUM(M142:M147)</f>
        <v>3806000</v>
      </c>
      <c r="N141" s="362"/>
      <c r="O141" s="362"/>
      <c r="P141" s="362"/>
      <c r="Q141" s="811"/>
      <c r="R141" s="362"/>
      <c r="S141" s="362"/>
      <c r="T141" s="357" t="s">
        <v>546</v>
      </c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63"/>
    </row>
    <row r="142" spans="1:31" s="58" customFormat="1" ht="66">
      <c r="A142" s="578" t="s">
        <v>417</v>
      </c>
      <c r="B142" s="451" t="s">
        <v>89</v>
      </c>
      <c r="C142" s="189" t="s">
        <v>418</v>
      </c>
      <c r="D142" s="682"/>
      <c r="E142" s="683"/>
      <c r="F142" s="684"/>
      <c r="G142" s="684"/>
      <c r="H142" s="684"/>
      <c r="I142" s="656" t="s">
        <v>57</v>
      </c>
      <c r="J142" s="506" t="s">
        <v>887</v>
      </c>
      <c r="K142" s="189"/>
      <c r="L142" s="556" t="s">
        <v>854</v>
      </c>
      <c r="M142" s="478">
        <v>1193500</v>
      </c>
      <c r="N142" s="478"/>
      <c r="O142" s="927">
        <v>350000</v>
      </c>
      <c r="P142" s="479" t="s">
        <v>1047</v>
      </c>
      <c r="Q142" s="812"/>
      <c r="R142" s="574" t="s">
        <v>1170</v>
      </c>
      <c r="S142" s="478"/>
      <c r="T142" s="256" t="s">
        <v>34</v>
      </c>
      <c r="U142" s="577"/>
      <c r="V142" s="577"/>
      <c r="W142" s="577"/>
      <c r="X142" s="577"/>
      <c r="Y142" s="577"/>
      <c r="Z142" s="577"/>
      <c r="AA142" s="577"/>
      <c r="AB142" s="55"/>
      <c r="AC142" s="55"/>
      <c r="AD142" s="55"/>
      <c r="AE142" s="55"/>
    </row>
    <row r="143" spans="1:31" s="58" customFormat="1" ht="84">
      <c r="A143" s="181" t="s">
        <v>419</v>
      </c>
      <c r="B143" s="199" t="s">
        <v>45</v>
      </c>
      <c r="C143" s="199" t="s">
        <v>420</v>
      </c>
      <c r="D143" s="686"/>
      <c r="E143" s="687"/>
      <c r="F143" s="685"/>
      <c r="G143" s="685"/>
      <c r="H143" s="685"/>
      <c r="I143" s="656" t="s">
        <v>57</v>
      </c>
      <c r="J143" s="506" t="s">
        <v>887</v>
      </c>
      <c r="K143" s="199"/>
      <c r="L143" s="556" t="s">
        <v>854</v>
      </c>
      <c r="M143" s="479">
        <v>1321100</v>
      </c>
      <c r="N143" s="479"/>
      <c r="O143" s="927">
        <v>600500</v>
      </c>
      <c r="P143" s="479" t="s">
        <v>1047</v>
      </c>
      <c r="Q143" s="812"/>
      <c r="R143" s="574" t="s">
        <v>1170</v>
      </c>
      <c r="S143" s="515" t="s">
        <v>990</v>
      </c>
      <c r="T143" s="202"/>
      <c r="U143" s="366"/>
      <c r="V143" s="366"/>
      <c r="W143" s="366"/>
      <c r="X143" s="366"/>
      <c r="Y143" s="366"/>
      <c r="Z143" s="366"/>
      <c r="AA143" s="366"/>
      <c r="AB143" s="55"/>
      <c r="AC143" s="55"/>
      <c r="AD143" s="55"/>
      <c r="AE143" s="55"/>
    </row>
    <row r="144" spans="1:31" s="58" customFormat="1" ht="66">
      <c r="A144" s="578" t="s">
        <v>421</v>
      </c>
      <c r="B144" s="451" t="s">
        <v>89</v>
      </c>
      <c r="C144" s="189" t="s">
        <v>422</v>
      </c>
      <c r="D144" s="682"/>
      <c r="E144" s="683"/>
      <c r="F144" s="684"/>
      <c r="G144" s="684"/>
      <c r="H144" s="684"/>
      <c r="I144" s="656" t="s">
        <v>57</v>
      </c>
      <c r="J144" s="506" t="s">
        <v>887</v>
      </c>
      <c r="K144" s="189"/>
      <c r="L144" s="556" t="s">
        <v>854</v>
      </c>
      <c r="M144" s="478">
        <v>368500</v>
      </c>
      <c r="N144" s="478"/>
      <c r="O144" s="927">
        <v>184250</v>
      </c>
      <c r="P144" s="479" t="s">
        <v>1047</v>
      </c>
      <c r="Q144" s="812"/>
      <c r="R144" s="574" t="s">
        <v>1170</v>
      </c>
      <c r="S144" s="478"/>
      <c r="T144" s="256"/>
      <c r="U144" s="577"/>
      <c r="V144" s="577"/>
      <c r="W144" s="577"/>
      <c r="X144" s="577"/>
      <c r="Y144" s="577"/>
      <c r="Z144" s="577"/>
      <c r="AA144" s="577"/>
      <c r="AB144" s="55"/>
      <c r="AC144" s="55"/>
      <c r="AD144" s="55"/>
      <c r="AE144" s="55"/>
    </row>
    <row r="145" spans="1:31" s="58" customFormat="1" ht="84.75" customHeight="1">
      <c r="A145" s="578" t="s">
        <v>423</v>
      </c>
      <c r="B145" s="451" t="s">
        <v>89</v>
      </c>
      <c r="C145" s="189" t="s">
        <v>424</v>
      </c>
      <c r="D145" s="682"/>
      <c r="E145" s="683"/>
      <c r="F145" s="684"/>
      <c r="G145" s="684"/>
      <c r="H145" s="684"/>
      <c r="I145" s="656" t="s">
        <v>57</v>
      </c>
      <c r="J145" s="506" t="s">
        <v>887</v>
      </c>
      <c r="K145" s="189"/>
      <c r="L145" s="556" t="s">
        <v>854</v>
      </c>
      <c r="M145" s="478">
        <v>312400</v>
      </c>
      <c r="N145" s="478"/>
      <c r="O145" s="927">
        <v>156200</v>
      </c>
      <c r="P145" s="479" t="s">
        <v>1047</v>
      </c>
      <c r="Q145" s="812"/>
      <c r="R145" s="574" t="s">
        <v>1170</v>
      </c>
      <c r="S145" s="478"/>
      <c r="T145" s="256"/>
      <c r="U145" s="577"/>
      <c r="V145" s="577"/>
      <c r="W145" s="577"/>
      <c r="X145" s="577"/>
      <c r="Y145" s="577"/>
      <c r="Z145" s="577"/>
      <c r="AA145" s="577"/>
      <c r="AB145" s="55"/>
      <c r="AC145" s="55"/>
      <c r="AD145" s="55"/>
      <c r="AE145" s="55"/>
    </row>
    <row r="146" spans="1:31" s="58" customFormat="1" ht="97.5" customHeight="1">
      <c r="A146" s="578" t="s">
        <v>425</v>
      </c>
      <c r="B146" s="451" t="s">
        <v>89</v>
      </c>
      <c r="C146" s="189" t="s">
        <v>426</v>
      </c>
      <c r="D146" s="682"/>
      <c r="E146" s="683"/>
      <c r="F146" s="684"/>
      <c r="G146" s="684"/>
      <c r="H146" s="684"/>
      <c r="I146" s="656" t="s">
        <v>57</v>
      </c>
      <c r="J146" s="506" t="s">
        <v>887</v>
      </c>
      <c r="K146" s="189"/>
      <c r="L146" s="556" t="s">
        <v>854</v>
      </c>
      <c r="M146" s="478">
        <v>336600</v>
      </c>
      <c r="N146" s="478"/>
      <c r="O146" s="927">
        <v>67320</v>
      </c>
      <c r="P146" s="479" t="s">
        <v>1047</v>
      </c>
      <c r="Q146" s="812"/>
      <c r="R146" s="574" t="s">
        <v>1170</v>
      </c>
      <c r="S146" s="478"/>
      <c r="T146" s="256"/>
      <c r="U146" s="577"/>
      <c r="V146" s="577"/>
      <c r="W146" s="577"/>
      <c r="X146" s="577"/>
      <c r="Y146" s="577"/>
      <c r="Z146" s="577"/>
      <c r="AA146" s="577"/>
      <c r="AB146" s="55"/>
      <c r="AC146" s="55"/>
      <c r="AD146" s="55"/>
      <c r="AE146" s="55"/>
    </row>
    <row r="147" spans="1:31" s="58" customFormat="1" ht="153" customHeight="1">
      <c r="A147" s="578" t="s">
        <v>427</v>
      </c>
      <c r="B147" s="189" t="s">
        <v>45</v>
      </c>
      <c r="C147" s="189" t="s">
        <v>428</v>
      </c>
      <c r="D147" s="682"/>
      <c r="E147" s="683"/>
      <c r="F147" s="684"/>
      <c r="G147" s="684"/>
      <c r="H147" s="684"/>
      <c r="I147" s="656" t="s">
        <v>57</v>
      </c>
      <c r="J147" s="506" t="s">
        <v>887</v>
      </c>
      <c r="K147" s="189"/>
      <c r="L147" s="556" t="s">
        <v>854</v>
      </c>
      <c r="M147" s="478">
        <v>273900</v>
      </c>
      <c r="N147" s="478"/>
      <c r="O147" s="927">
        <v>136950</v>
      </c>
      <c r="P147" s="479" t="s">
        <v>1047</v>
      </c>
      <c r="Q147" s="812"/>
      <c r="R147" s="928" t="s">
        <v>1171</v>
      </c>
      <c r="S147" s="515" t="s">
        <v>990</v>
      </c>
      <c r="T147" s="256"/>
      <c r="U147" s="577"/>
      <c r="V147" s="577"/>
      <c r="W147" s="577"/>
      <c r="X147" s="577"/>
      <c r="Y147" s="577"/>
      <c r="Z147" s="577"/>
      <c r="AA147" s="577"/>
      <c r="AB147" s="55"/>
      <c r="AC147" s="55"/>
      <c r="AD147" s="55"/>
      <c r="AE147" s="55"/>
    </row>
    <row r="148" spans="1:31" s="179" customFormat="1" ht="23.25">
      <c r="A148" s="356" t="s">
        <v>429</v>
      </c>
      <c r="B148" s="176"/>
      <c r="C148" s="49"/>
      <c r="D148" s="664"/>
      <c r="E148" s="664"/>
      <c r="F148" s="664"/>
      <c r="G148" s="664"/>
      <c r="H148" s="664"/>
      <c r="I148" s="664"/>
      <c r="J148" s="49"/>
      <c r="K148" s="49"/>
      <c r="L148" s="49"/>
      <c r="M148" s="357">
        <f>M149</f>
        <v>482000</v>
      </c>
      <c r="N148" s="357"/>
      <c r="O148" s="357"/>
      <c r="P148" s="357"/>
      <c r="Q148" s="798"/>
      <c r="R148" s="357"/>
      <c r="S148" s="357"/>
      <c r="T148" s="357" t="s">
        <v>546</v>
      </c>
      <c r="U148" s="358"/>
      <c r="V148" s="358"/>
      <c r="W148" s="358"/>
      <c r="X148" s="358"/>
      <c r="Y148" s="358"/>
      <c r="Z148" s="358"/>
      <c r="AA148" s="358"/>
      <c r="AB148" s="358"/>
      <c r="AC148" s="358"/>
      <c r="AD148" s="358"/>
      <c r="AE148" s="359"/>
    </row>
    <row r="149" spans="1:31" s="159" customFormat="1" ht="42">
      <c r="A149" s="265" t="s">
        <v>34</v>
      </c>
      <c r="B149" s="151" t="s">
        <v>357</v>
      </c>
      <c r="C149" s="151" t="s">
        <v>430</v>
      </c>
      <c r="D149" s="688"/>
      <c r="E149" s="689"/>
      <c r="F149" s="688"/>
      <c r="G149" s="688"/>
      <c r="H149" s="688"/>
      <c r="I149" s="690" t="s">
        <v>34</v>
      </c>
      <c r="J149" s="506" t="s">
        <v>34</v>
      </c>
      <c r="K149" s="570"/>
      <c r="L149" s="155"/>
      <c r="M149" s="266">
        <f>SUM(M150:M155)</f>
        <v>482000</v>
      </c>
      <c r="N149" s="266"/>
      <c r="O149" s="266"/>
      <c r="P149" s="266"/>
      <c r="Q149" s="814"/>
      <c r="R149" s="266"/>
      <c r="S149" s="266"/>
      <c r="T149" s="158" t="s">
        <v>34</v>
      </c>
      <c r="U149" s="158">
        <v>0</v>
      </c>
      <c r="V149" s="158">
        <v>0</v>
      </c>
      <c r="W149" s="158">
        <v>0</v>
      </c>
      <c r="X149" s="158">
        <v>0</v>
      </c>
      <c r="Y149" s="158">
        <f>V149+W149+X149</f>
        <v>0</v>
      </c>
      <c r="Z149" s="158">
        <v>0</v>
      </c>
      <c r="AA149" s="158">
        <v>0</v>
      </c>
      <c r="AB149" s="158">
        <v>0</v>
      </c>
      <c r="AC149" s="158">
        <f>AA149+AB149</f>
        <v>0</v>
      </c>
      <c r="AD149" s="158"/>
      <c r="AE149" s="158">
        <v>770000</v>
      </c>
    </row>
    <row r="150" spans="1:31" s="514" customFormat="1" ht="72">
      <c r="A150" s="510" t="s">
        <v>431</v>
      </c>
      <c r="B150" s="582" t="s">
        <v>357</v>
      </c>
      <c r="C150" s="269" t="s">
        <v>432</v>
      </c>
      <c r="D150" s="659"/>
      <c r="E150" s="662"/>
      <c r="F150" s="659"/>
      <c r="G150" s="659"/>
      <c r="H150" s="659"/>
      <c r="I150" s="656" t="s">
        <v>57</v>
      </c>
      <c r="J150" s="506" t="s">
        <v>884</v>
      </c>
      <c r="K150" s="269"/>
      <c r="L150" s="556" t="s">
        <v>854</v>
      </c>
      <c r="M150" s="513">
        <v>100000</v>
      </c>
      <c r="N150" s="518">
        <v>30000</v>
      </c>
      <c r="O150" s="518">
        <v>22918</v>
      </c>
      <c r="P150" s="100" t="s">
        <v>1061</v>
      </c>
      <c r="Q150" s="783"/>
      <c r="R150" s="513"/>
      <c r="S150" s="513" t="s">
        <v>1172</v>
      </c>
      <c r="T150" s="513"/>
      <c r="U150" s="513"/>
      <c r="V150" s="513"/>
      <c r="W150" s="513"/>
      <c r="X150" s="513"/>
      <c r="Y150" s="513"/>
      <c r="Z150" s="513"/>
      <c r="AA150" s="513"/>
      <c r="AB150" s="513"/>
      <c r="AC150" s="513"/>
      <c r="AD150" s="513"/>
      <c r="AE150" s="513"/>
    </row>
    <row r="151" spans="1:31" s="514" customFormat="1" ht="72">
      <c r="A151" s="510" t="s">
        <v>433</v>
      </c>
      <c r="B151" s="582" t="s">
        <v>357</v>
      </c>
      <c r="C151" s="269" t="s">
        <v>434</v>
      </c>
      <c r="D151" s="659"/>
      <c r="E151" s="662"/>
      <c r="F151" s="659"/>
      <c r="G151" s="659"/>
      <c r="H151" s="659"/>
      <c r="I151" s="656" t="s">
        <v>57</v>
      </c>
      <c r="J151" s="506" t="s">
        <v>884</v>
      </c>
      <c r="K151" s="269"/>
      <c r="L151" s="556" t="s">
        <v>854</v>
      </c>
      <c r="M151" s="513">
        <v>80000</v>
      </c>
      <c r="N151" s="518">
        <v>44000</v>
      </c>
      <c r="O151" s="513"/>
      <c r="P151" s="100" t="s">
        <v>1061</v>
      </c>
      <c r="Q151" s="783"/>
      <c r="R151" s="513"/>
      <c r="S151" s="513" t="s">
        <v>1173</v>
      </c>
      <c r="T151" s="513"/>
      <c r="U151" s="513"/>
      <c r="V151" s="513"/>
      <c r="W151" s="513"/>
      <c r="X151" s="513"/>
      <c r="Y151" s="513"/>
      <c r="Z151" s="513"/>
      <c r="AA151" s="513"/>
      <c r="AB151" s="513"/>
      <c r="AC151" s="513"/>
      <c r="AD151" s="513"/>
      <c r="AE151" s="513"/>
    </row>
    <row r="152" spans="1:31" s="514" customFormat="1" ht="72">
      <c r="A152" s="517" t="s">
        <v>435</v>
      </c>
      <c r="B152" s="136" t="s">
        <v>357</v>
      </c>
      <c r="C152" s="269" t="s">
        <v>436</v>
      </c>
      <c r="D152" s="659"/>
      <c r="E152" s="662"/>
      <c r="F152" s="659"/>
      <c r="G152" s="659"/>
      <c r="H152" s="659"/>
      <c r="I152" s="656" t="s">
        <v>57</v>
      </c>
      <c r="J152" s="506" t="s">
        <v>884</v>
      </c>
      <c r="K152" s="269"/>
      <c r="L152" s="556" t="s">
        <v>854</v>
      </c>
      <c r="M152" s="513">
        <v>30000</v>
      </c>
      <c r="N152" s="513"/>
      <c r="O152" s="513" t="s">
        <v>1174</v>
      </c>
      <c r="P152" s="100" t="s">
        <v>1062</v>
      </c>
      <c r="Q152" s="783"/>
      <c r="R152" s="513"/>
      <c r="S152" s="513"/>
      <c r="T152" s="513"/>
      <c r="U152" s="513"/>
      <c r="V152" s="513"/>
      <c r="W152" s="513"/>
      <c r="X152" s="513"/>
      <c r="Y152" s="513"/>
      <c r="Z152" s="513"/>
      <c r="AA152" s="513"/>
      <c r="AB152" s="513"/>
      <c r="AC152" s="513"/>
      <c r="AD152" s="513"/>
      <c r="AE152" s="513"/>
    </row>
    <row r="153" spans="1:31" s="514" customFormat="1" ht="54">
      <c r="A153" s="510" t="s">
        <v>437</v>
      </c>
      <c r="B153" s="582" t="s">
        <v>357</v>
      </c>
      <c r="C153" s="269" t="s">
        <v>438</v>
      </c>
      <c r="D153" s="659"/>
      <c r="E153" s="662"/>
      <c r="F153" s="659"/>
      <c r="G153" s="659"/>
      <c r="H153" s="659"/>
      <c r="I153" s="656" t="s">
        <v>57</v>
      </c>
      <c r="J153" s="506" t="s">
        <v>884</v>
      </c>
      <c r="K153" s="269"/>
      <c r="L153" s="556" t="s">
        <v>854</v>
      </c>
      <c r="M153" s="513">
        <v>5000</v>
      </c>
      <c r="N153" s="513"/>
      <c r="O153" s="513" t="s">
        <v>989</v>
      </c>
      <c r="P153" s="100" t="s">
        <v>1063</v>
      </c>
      <c r="Q153" s="783"/>
      <c r="R153" s="513"/>
      <c r="S153" s="513"/>
      <c r="T153" s="513"/>
      <c r="U153" s="513"/>
      <c r="V153" s="513"/>
      <c r="W153" s="513"/>
      <c r="X153" s="513"/>
      <c r="Y153" s="513"/>
      <c r="Z153" s="513"/>
      <c r="AA153" s="513"/>
      <c r="AB153" s="513"/>
      <c r="AC153" s="513"/>
      <c r="AD153" s="513"/>
      <c r="AE153" s="513"/>
    </row>
    <row r="154" spans="1:31" s="514" customFormat="1" ht="72">
      <c r="A154" s="510" t="s">
        <v>596</v>
      </c>
      <c r="B154" s="582" t="s">
        <v>357</v>
      </c>
      <c r="C154" s="269" t="s">
        <v>439</v>
      </c>
      <c r="D154" s="659"/>
      <c r="E154" s="662"/>
      <c r="F154" s="659"/>
      <c r="G154" s="659"/>
      <c r="H154" s="659"/>
      <c r="I154" s="656" t="s">
        <v>57</v>
      </c>
      <c r="J154" s="506" t="s">
        <v>884</v>
      </c>
      <c r="K154" s="269"/>
      <c r="L154" s="556" t="s">
        <v>854</v>
      </c>
      <c r="M154" s="513">
        <v>200000</v>
      </c>
      <c r="N154" s="513"/>
      <c r="O154" s="513" t="s">
        <v>1175</v>
      </c>
      <c r="P154" s="964" t="s">
        <v>1064</v>
      </c>
      <c r="Q154" s="939"/>
      <c r="R154" s="513" t="s">
        <v>1204</v>
      </c>
      <c r="S154" s="513"/>
      <c r="T154" s="513"/>
      <c r="U154" s="513"/>
      <c r="V154" s="513"/>
      <c r="W154" s="513"/>
      <c r="X154" s="513"/>
      <c r="Y154" s="513"/>
      <c r="Z154" s="513"/>
      <c r="AA154" s="513"/>
      <c r="AB154" s="513"/>
      <c r="AC154" s="513"/>
      <c r="AD154" s="513"/>
      <c r="AE154" s="513"/>
    </row>
    <row r="155" spans="1:31" s="514" customFormat="1" ht="72">
      <c r="A155" s="510" t="s">
        <v>597</v>
      </c>
      <c r="B155" s="572" t="s">
        <v>357</v>
      </c>
      <c r="C155" s="572" t="s">
        <v>573</v>
      </c>
      <c r="D155" s="691"/>
      <c r="E155" s="691"/>
      <c r="F155" s="691"/>
      <c r="G155" s="691"/>
      <c r="H155" s="691"/>
      <c r="I155" s="691" t="s">
        <v>57</v>
      </c>
      <c r="J155" s="506" t="s">
        <v>884</v>
      </c>
      <c r="K155" s="572"/>
      <c r="L155" s="556" t="s">
        <v>854</v>
      </c>
      <c r="M155" s="573">
        <v>67000</v>
      </c>
      <c r="N155" s="573"/>
      <c r="O155" s="573" t="s">
        <v>1176</v>
      </c>
      <c r="P155" s="100" t="s">
        <v>1065</v>
      </c>
      <c r="Q155" s="956"/>
      <c r="R155" s="573"/>
      <c r="S155" s="573"/>
      <c r="T155" s="513"/>
      <c r="U155" s="513"/>
      <c r="V155" s="513"/>
      <c r="W155" s="513"/>
      <c r="X155" s="513"/>
      <c r="Y155" s="513"/>
      <c r="Z155" s="513"/>
      <c r="AA155" s="513"/>
      <c r="AB155" s="513"/>
      <c r="AC155" s="513"/>
      <c r="AD155" s="513"/>
      <c r="AE155" s="513"/>
    </row>
    <row r="156" spans="1:31" s="263" customFormat="1" ht="31.5">
      <c r="A156" s="258" t="s">
        <v>440</v>
      </c>
      <c r="B156" s="259"/>
      <c r="C156" s="260"/>
      <c r="D156" s="680"/>
      <c r="E156" s="680"/>
      <c r="F156" s="680"/>
      <c r="G156" s="680"/>
      <c r="H156" s="680"/>
      <c r="I156" s="680"/>
      <c r="J156" s="260"/>
      <c r="K156" s="260"/>
      <c r="L156" s="260"/>
      <c r="M156" s="364" t="s">
        <v>34</v>
      </c>
      <c r="N156" s="364"/>
      <c r="O156" s="364"/>
      <c r="P156" s="364"/>
      <c r="Q156" s="809"/>
      <c r="R156" s="364"/>
      <c r="S156" s="364"/>
      <c r="T156" s="259"/>
      <c r="U156" s="259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2"/>
    </row>
    <row r="157" spans="1:31" s="179" customFormat="1" ht="23.25">
      <c r="A157" s="356" t="s">
        <v>416</v>
      </c>
      <c r="B157" s="176"/>
      <c r="C157" s="49"/>
      <c r="D157" s="664"/>
      <c r="E157" s="664"/>
      <c r="F157" s="664"/>
      <c r="G157" s="664"/>
      <c r="H157" s="664"/>
      <c r="I157" s="664"/>
      <c r="J157" s="49"/>
      <c r="K157" s="49"/>
      <c r="L157" s="49"/>
      <c r="M157" s="357">
        <f>SUM(M158:M166)</f>
        <v>1887700</v>
      </c>
      <c r="N157" s="357"/>
      <c r="O157" s="357"/>
      <c r="P157" s="357"/>
      <c r="Q157" s="798"/>
      <c r="R157" s="357"/>
      <c r="S157" s="357"/>
      <c r="T157" s="357" t="s">
        <v>546</v>
      </c>
      <c r="U157" s="358"/>
      <c r="V157" s="358"/>
      <c r="W157" s="358"/>
      <c r="X157" s="358"/>
      <c r="Y157" s="358"/>
      <c r="Z157" s="358"/>
      <c r="AA157" s="358"/>
      <c r="AB157" s="358"/>
      <c r="AC157" s="358"/>
      <c r="AD157" s="358"/>
      <c r="AE157" s="359"/>
    </row>
    <row r="158" spans="1:31" s="58" customFormat="1" ht="378">
      <c r="A158" s="578" t="s">
        <v>441</v>
      </c>
      <c r="B158" s="189" t="s">
        <v>45</v>
      </c>
      <c r="C158" s="189" t="s">
        <v>442</v>
      </c>
      <c r="D158" s="692" t="s">
        <v>835</v>
      </c>
      <c r="E158" s="692" t="s">
        <v>837</v>
      </c>
      <c r="F158" s="692" t="s">
        <v>836</v>
      </c>
      <c r="G158" s="692" t="s">
        <v>838</v>
      </c>
      <c r="H158" s="692" t="s">
        <v>839</v>
      </c>
      <c r="I158" s="693" t="s">
        <v>446</v>
      </c>
      <c r="J158" s="506" t="s">
        <v>888</v>
      </c>
      <c r="K158" s="18"/>
      <c r="L158" s="556" t="s">
        <v>854</v>
      </c>
      <c r="M158" s="478">
        <v>60000</v>
      </c>
      <c r="N158" s="736" t="s">
        <v>1004</v>
      </c>
      <c r="O158" s="736" t="s">
        <v>1005</v>
      </c>
      <c r="P158" s="574" t="s">
        <v>998</v>
      </c>
      <c r="Q158" s="815"/>
      <c r="R158" s="736" t="s">
        <v>998</v>
      </c>
      <c r="S158" s="736" t="s">
        <v>990</v>
      </c>
      <c r="T158" s="256"/>
      <c r="U158" s="577"/>
      <c r="V158" s="577"/>
      <c r="W158" s="577"/>
      <c r="X158" s="577"/>
      <c r="Y158" s="577"/>
      <c r="Z158" s="577"/>
      <c r="AA158" s="577">
        <v>0</v>
      </c>
      <c r="AB158" s="55"/>
      <c r="AC158" s="55"/>
      <c r="AD158" s="55"/>
      <c r="AE158" s="55"/>
    </row>
    <row r="159" spans="1:31" s="58" customFormat="1" ht="324">
      <c r="A159" s="578" t="s">
        <v>448</v>
      </c>
      <c r="B159" s="189" t="s">
        <v>45</v>
      </c>
      <c r="C159" s="199" t="s">
        <v>449</v>
      </c>
      <c r="D159" s="502" t="s">
        <v>450</v>
      </c>
      <c r="E159" s="654" t="s">
        <v>896</v>
      </c>
      <c r="F159" s="654" t="s">
        <v>895</v>
      </c>
      <c r="G159" s="502" t="s">
        <v>897</v>
      </c>
      <c r="H159" s="502" t="s">
        <v>898</v>
      </c>
      <c r="I159" s="502" t="s">
        <v>453</v>
      </c>
      <c r="J159" s="506" t="s">
        <v>888</v>
      </c>
      <c r="K159" s="591"/>
      <c r="L159" s="556" t="s">
        <v>854</v>
      </c>
      <c r="M159" s="479">
        <v>259200</v>
      </c>
      <c r="N159" s="737" t="s">
        <v>1006</v>
      </c>
      <c r="O159" s="737" t="s">
        <v>999</v>
      </c>
      <c r="P159" s="738" t="s">
        <v>1007</v>
      </c>
      <c r="Q159" s="816"/>
      <c r="R159" s="737" t="s">
        <v>998</v>
      </c>
      <c r="S159" s="737" t="s">
        <v>1000</v>
      </c>
      <c r="T159" s="202"/>
      <c r="U159" s="366"/>
      <c r="V159" s="366"/>
      <c r="W159" s="366"/>
      <c r="X159" s="366"/>
      <c r="Y159" s="366"/>
      <c r="Z159" s="366"/>
      <c r="AA159" s="366">
        <v>0</v>
      </c>
      <c r="AB159" s="55"/>
      <c r="AC159" s="55"/>
      <c r="AD159" s="55"/>
      <c r="AE159" s="55"/>
    </row>
    <row r="160" spans="1:31" s="58" customFormat="1" ht="126">
      <c r="A160" s="578" t="s">
        <v>454</v>
      </c>
      <c r="B160" s="199" t="s">
        <v>455</v>
      </c>
      <c r="C160" s="199" t="s">
        <v>456</v>
      </c>
      <c r="D160" s="685"/>
      <c r="E160" s="685"/>
      <c r="F160" s="685"/>
      <c r="G160" s="685"/>
      <c r="H160" s="685"/>
      <c r="I160" s="656" t="s">
        <v>57</v>
      </c>
      <c r="J160" s="506" t="s">
        <v>888</v>
      </c>
      <c r="K160" s="199"/>
      <c r="L160" s="556" t="s">
        <v>854</v>
      </c>
      <c r="M160" s="479">
        <v>200000</v>
      </c>
      <c r="N160" s="479"/>
      <c r="O160" s="602" t="s">
        <v>1177</v>
      </c>
      <c r="P160" s="738" t="s">
        <v>975</v>
      </c>
      <c r="Q160" s="816"/>
      <c r="R160" s="720"/>
      <c r="S160" s="479"/>
      <c r="T160" s="202"/>
      <c r="U160" s="366"/>
      <c r="V160" s="366"/>
      <c r="W160" s="366"/>
      <c r="X160" s="366"/>
      <c r="Y160" s="366"/>
      <c r="Z160" s="366"/>
      <c r="AA160" s="366"/>
      <c r="AB160" s="55"/>
      <c r="AC160" s="55"/>
      <c r="AD160" s="55"/>
      <c r="AE160" s="55"/>
    </row>
    <row r="161" spans="1:31" s="58" customFormat="1" ht="63">
      <c r="A161" s="578" t="s">
        <v>457</v>
      </c>
      <c r="B161" s="199" t="s">
        <v>81</v>
      </c>
      <c r="C161" s="199" t="s">
        <v>458</v>
      </c>
      <c r="D161" s="685"/>
      <c r="E161" s="685"/>
      <c r="F161" s="685"/>
      <c r="G161" s="685"/>
      <c r="H161" s="685"/>
      <c r="I161" s="656" t="s">
        <v>57</v>
      </c>
      <c r="J161" s="506" t="s">
        <v>888</v>
      </c>
      <c r="K161" s="199"/>
      <c r="L161" s="556" t="s">
        <v>854</v>
      </c>
      <c r="M161" s="366" t="s">
        <v>459</v>
      </c>
      <c r="N161" s="366"/>
      <c r="O161" s="602" t="s">
        <v>1178</v>
      </c>
      <c r="P161" s="603" t="s">
        <v>982</v>
      </c>
      <c r="Q161" s="785"/>
      <c r="R161" s="722" t="s">
        <v>34</v>
      </c>
      <c r="S161" s="366"/>
      <c r="T161" s="202"/>
      <c r="U161" s="366"/>
      <c r="V161" s="366"/>
      <c r="W161" s="366"/>
      <c r="X161" s="366"/>
      <c r="Y161" s="366"/>
      <c r="Z161" s="366"/>
      <c r="AA161" s="366"/>
      <c r="AB161" s="55"/>
      <c r="AC161" s="55"/>
      <c r="AD161" s="55"/>
      <c r="AE161" s="55"/>
    </row>
    <row r="162" spans="1:31" s="58" customFormat="1" ht="306">
      <c r="A162" s="633" t="s">
        <v>460</v>
      </c>
      <c r="B162" s="199" t="s">
        <v>81</v>
      </c>
      <c r="C162" s="189" t="s">
        <v>463</v>
      </c>
      <c r="D162" s="692" t="s">
        <v>923</v>
      </c>
      <c r="E162" s="692" t="s">
        <v>924</v>
      </c>
      <c r="F162" s="692" t="s">
        <v>925</v>
      </c>
      <c r="G162" s="692" t="s">
        <v>926</v>
      </c>
      <c r="H162" s="692" t="s">
        <v>927</v>
      </c>
      <c r="I162" s="656" t="s">
        <v>57</v>
      </c>
      <c r="J162" s="506" t="s">
        <v>888</v>
      </c>
      <c r="K162" s="506" t="s">
        <v>928</v>
      </c>
      <c r="L162" s="556" t="s">
        <v>854</v>
      </c>
      <c r="M162" s="478">
        <v>130000</v>
      </c>
      <c r="N162" s="478"/>
      <c r="O162" s="737" t="s">
        <v>1179</v>
      </c>
      <c r="P162" s="574" t="s">
        <v>983</v>
      </c>
      <c r="Q162" s="815"/>
      <c r="R162" s="723"/>
      <c r="S162" s="478"/>
      <c r="T162" s="256"/>
      <c r="U162" s="577"/>
      <c r="V162" s="577"/>
      <c r="W162" s="577"/>
      <c r="X162" s="577"/>
      <c r="Y162" s="577"/>
      <c r="Z162" s="577"/>
      <c r="AA162" s="577"/>
      <c r="AB162" s="55"/>
      <c r="AC162" s="55"/>
      <c r="AD162" s="55"/>
      <c r="AE162" s="55"/>
    </row>
    <row r="163" spans="1:31" s="58" customFormat="1" ht="144">
      <c r="A163" s="633" t="s">
        <v>462</v>
      </c>
      <c r="B163" s="199" t="s">
        <v>81</v>
      </c>
      <c r="C163" s="189" t="s">
        <v>571</v>
      </c>
      <c r="D163" s="692" t="s">
        <v>929</v>
      </c>
      <c r="E163" s="692" t="s">
        <v>929</v>
      </c>
      <c r="F163" s="692" t="s">
        <v>925</v>
      </c>
      <c r="G163" s="692" t="s">
        <v>930</v>
      </c>
      <c r="H163" s="692" t="s">
        <v>931</v>
      </c>
      <c r="I163" s="656" t="s">
        <v>57</v>
      </c>
      <c r="J163" s="506" t="s">
        <v>888</v>
      </c>
      <c r="K163" s="506" t="s">
        <v>932</v>
      </c>
      <c r="L163" s="556" t="s">
        <v>854</v>
      </c>
      <c r="M163" s="478">
        <v>134000</v>
      </c>
      <c r="N163" s="478"/>
      <c r="O163" s="737" t="s">
        <v>1180</v>
      </c>
      <c r="P163" s="574" t="s">
        <v>984</v>
      </c>
      <c r="Q163" s="815"/>
      <c r="R163" s="723"/>
      <c r="S163" s="478"/>
      <c r="T163" s="256"/>
      <c r="U163" s="577"/>
      <c r="V163" s="577"/>
      <c r="W163" s="577"/>
      <c r="X163" s="577"/>
      <c r="Y163" s="577"/>
      <c r="Z163" s="577"/>
      <c r="AA163" s="577"/>
      <c r="AB163" s="55"/>
      <c r="AC163" s="55"/>
      <c r="AD163" s="55"/>
      <c r="AE163" s="55"/>
    </row>
    <row r="164" spans="1:31" s="58" customFormat="1" ht="382.5" customHeight="1">
      <c r="A164" s="54">
        <v>20</v>
      </c>
      <c r="B164" s="451" t="s">
        <v>89</v>
      </c>
      <c r="C164" s="189" t="s">
        <v>466</v>
      </c>
      <c r="D164" s="692" t="s">
        <v>894</v>
      </c>
      <c r="E164" s="710" t="s">
        <v>893</v>
      </c>
      <c r="F164" s="692" t="s">
        <v>469</v>
      </c>
      <c r="G164" s="692" t="s">
        <v>891</v>
      </c>
      <c r="H164" s="711" t="s">
        <v>892</v>
      </c>
      <c r="I164" s="656" t="s">
        <v>57</v>
      </c>
      <c r="J164" s="506" t="s">
        <v>888</v>
      </c>
      <c r="K164" s="69"/>
      <c r="L164" s="556" t="s">
        <v>854</v>
      </c>
      <c r="M164" s="64">
        <v>68500</v>
      </c>
      <c r="N164" s="64"/>
      <c r="O164" s="737" t="s">
        <v>1181</v>
      </c>
      <c r="P164" s="64" t="s">
        <v>1055</v>
      </c>
      <c r="Q164" s="817"/>
      <c r="R164" s="64"/>
      <c r="S164" s="64"/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f>V164+W164+X164</f>
        <v>0</v>
      </c>
      <c r="Z164" s="55">
        <v>0</v>
      </c>
      <c r="AA164" s="55">
        <v>0</v>
      </c>
      <c r="AB164" s="55">
        <v>0</v>
      </c>
      <c r="AC164" s="55">
        <f>AA164+AB164</f>
        <v>0</v>
      </c>
      <c r="AD164" s="389"/>
      <c r="AE164" s="256">
        <v>68500</v>
      </c>
    </row>
    <row r="165" spans="1:31" s="58" customFormat="1" ht="72">
      <c r="A165" s="575">
        <v>21</v>
      </c>
      <c r="B165" s="189" t="s">
        <v>357</v>
      </c>
      <c r="C165" s="199" t="s">
        <v>470</v>
      </c>
      <c r="D165" s="684"/>
      <c r="E165" s="683"/>
      <c r="F165" s="684"/>
      <c r="G165" s="684"/>
      <c r="H165" s="684"/>
      <c r="I165" s="656" t="s">
        <v>57</v>
      </c>
      <c r="J165" s="506" t="s">
        <v>888</v>
      </c>
      <c r="K165" s="189"/>
      <c r="L165" s="556" t="s">
        <v>854</v>
      </c>
      <c r="M165" s="64">
        <v>900000</v>
      </c>
      <c r="N165" s="929" t="s">
        <v>34</v>
      </c>
      <c r="O165" s="569" t="s">
        <v>1182</v>
      </c>
      <c r="P165" s="479" t="s">
        <v>1047</v>
      </c>
      <c r="Q165" s="813"/>
      <c r="R165" s="64" t="s">
        <v>1205</v>
      </c>
      <c r="S165" s="64"/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f>V165+W165+X165</f>
        <v>0</v>
      </c>
      <c r="Z165" s="55">
        <v>0</v>
      </c>
      <c r="AA165" s="55">
        <v>0</v>
      </c>
      <c r="AB165" s="55">
        <v>0</v>
      </c>
      <c r="AC165" s="55">
        <f>AA165+AB165</f>
        <v>0</v>
      </c>
      <c r="AD165" s="55"/>
      <c r="AE165" s="202">
        <v>900000</v>
      </c>
    </row>
    <row r="166" spans="1:31" s="58" customFormat="1" ht="63">
      <c r="A166" s="575">
        <v>22</v>
      </c>
      <c r="B166" s="189" t="s">
        <v>357</v>
      </c>
      <c r="C166" s="199" t="s">
        <v>471</v>
      </c>
      <c r="D166" s="684"/>
      <c r="E166" s="683"/>
      <c r="F166" s="684"/>
      <c r="G166" s="684"/>
      <c r="H166" s="684"/>
      <c r="I166" s="656" t="s">
        <v>57</v>
      </c>
      <c r="J166" s="506" t="s">
        <v>888</v>
      </c>
      <c r="K166" s="189"/>
      <c r="L166" s="556" t="s">
        <v>854</v>
      </c>
      <c r="M166" s="64">
        <v>136000</v>
      </c>
      <c r="N166" s="929"/>
      <c r="O166" s="569" t="s">
        <v>1183</v>
      </c>
      <c r="P166" s="479" t="s">
        <v>1047</v>
      </c>
      <c r="Q166" s="813"/>
      <c r="R166" s="64" t="s">
        <v>1205</v>
      </c>
      <c r="S166" s="64"/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f>V166+W166+X166</f>
        <v>0</v>
      </c>
      <c r="Z166" s="55">
        <v>0</v>
      </c>
      <c r="AA166" s="55">
        <v>0</v>
      </c>
      <c r="AB166" s="55">
        <v>0</v>
      </c>
      <c r="AC166" s="55">
        <f>AA166+AB166</f>
        <v>0</v>
      </c>
      <c r="AD166" s="55"/>
      <c r="AE166" s="202">
        <v>136000</v>
      </c>
    </row>
    <row r="167" spans="1:31" s="179" customFormat="1" ht="23.25">
      <c r="A167" s="356" t="s">
        <v>429</v>
      </c>
      <c r="B167" s="176"/>
      <c r="C167" s="49"/>
      <c r="D167" s="664"/>
      <c r="E167" s="664"/>
      <c r="F167" s="664"/>
      <c r="G167" s="664"/>
      <c r="H167" s="664"/>
      <c r="I167" s="664"/>
      <c r="J167" s="49"/>
      <c r="K167" s="49"/>
      <c r="L167" s="49"/>
      <c r="M167" s="357">
        <f>SUM(M169:M171)</f>
        <v>30000</v>
      </c>
      <c r="N167" s="357"/>
      <c r="O167" s="357"/>
      <c r="P167" s="357"/>
      <c r="Q167" s="798"/>
      <c r="R167" s="357"/>
      <c r="S167" s="357"/>
      <c r="T167" s="357" t="s">
        <v>546</v>
      </c>
      <c r="U167" s="358"/>
      <c r="V167" s="358"/>
      <c r="W167" s="358"/>
      <c r="X167" s="358"/>
      <c r="Y167" s="358"/>
      <c r="Z167" s="358"/>
      <c r="AA167" s="358"/>
      <c r="AB167" s="358"/>
      <c r="AC167" s="358"/>
      <c r="AD167" s="358"/>
      <c r="AE167" s="359"/>
    </row>
    <row r="168" spans="1:31" s="58" customFormat="1" ht="42">
      <c r="A168" s="725" t="s">
        <v>34</v>
      </c>
      <c r="B168" s="189" t="s">
        <v>357</v>
      </c>
      <c r="C168" s="189" t="s">
        <v>472</v>
      </c>
      <c r="D168" s="684"/>
      <c r="E168" s="683"/>
      <c r="F168" s="684"/>
      <c r="G168" s="684"/>
      <c r="H168" s="684"/>
      <c r="I168" s="656" t="s">
        <v>34</v>
      </c>
      <c r="J168" s="506" t="s">
        <v>34</v>
      </c>
      <c r="K168" s="189"/>
      <c r="L168" s="256"/>
      <c r="M168" s="55">
        <f>SUM(M169:M169)</f>
        <v>30000</v>
      </c>
      <c r="N168" s="55"/>
      <c r="O168" s="55"/>
      <c r="P168" s="55"/>
      <c r="Q168" s="781"/>
      <c r="R168" s="55"/>
      <c r="S168" s="55"/>
      <c r="T168" s="55" t="s">
        <v>34</v>
      </c>
      <c r="U168" s="55">
        <v>0</v>
      </c>
      <c r="V168" s="55">
        <v>0</v>
      </c>
      <c r="W168" s="55">
        <v>0</v>
      </c>
      <c r="X168" s="55">
        <v>0</v>
      </c>
      <c r="Y168" s="55">
        <f>V168+W168+X168</f>
        <v>0</v>
      </c>
      <c r="Z168" s="55">
        <v>0</v>
      </c>
      <c r="AA168" s="55">
        <v>0</v>
      </c>
      <c r="AB168" s="55">
        <v>0</v>
      </c>
      <c r="AC168" s="55">
        <f>AA168+AB168</f>
        <v>0</v>
      </c>
      <c r="AD168" s="55"/>
      <c r="AE168" s="55">
        <v>770000</v>
      </c>
    </row>
    <row r="169" spans="1:31" s="501" customFormat="1" ht="285.75" customHeight="1">
      <c r="A169" s="593" t="s">
        <v>473</v>
      </c>
      <c r="B169" s="70" t="s">
        <v>81</v>
      </c>
      <c r="C169" s="70" t="s">
        <v>557</v>
      </c>
      <c r="D169" s="732" t="s">
        <v>876</v>
      </c>
      <c r="E169" s="756" t="s">
        <v>877</v>
      </c>
      <c r="F169" s="732" t="s">
        <v>955</v>
      </c>
      <c r="G169" s="732" t="s">
        <v>956</v>
      </c>
      <c r="H169" s="732" t="s">
        <v>957</v>
      </c>
      <c r="I169" s="656" t="s">
        <v>57</v>
      </c>
      <c r="J169" s="506" t="s">
        <v>888</v>
      </c>
      <c r="K169" s="70"/>
      <c r="L169" s="602" t="s">
        <v>854</v>
      </c>
      <c r="M169" s="515">
        <v>30000</v>
      </c>
      <c r="N169" s="515"/>
      <c r="O169" s="515" t="s">
        <v>1184</v>
      </c>
      <c r="P169" s="515" t="s">
        <v>985</v>
      </c>
      <c r="Q169" s="807"/>
      <c r="R169" s="515" t="s">
        <v>34</v>
      </c>
      <c r="S169" s="515"/>
      <c r="T169" s="499">
        <v>0</v>
      </c>
      <c r="U169" s="499">
        <v>0</v>
      </c>
      <c r="V169" s="499">
        <v>0</v>
      </c>
      <c r="W169" s="499">
        <f>SUM(W170:W171)</f>
        <v>30000</v>
      </c>
      <c r="X169" s="499">
        <v>0</v>
      </c>
      <c r="Y169" s="499">
        <f>V169+W169+X169</f>
        <v>30000</v>
      </c>
      <c r="Z169" s="499">
        <v>0</v>
      </c>
      <c r="AA169" s="499">
        <v>0</v>
      </c>
      <c r="AB169" s="499">
        <v>0</v>
      </c>
      <c r="AC169" s="499">
        <f>AA169+AB169</f>
        <v>0</v>
      </c>
      <c r="AD169" s="499"/>
      <c r="AE169" s="499">
        <v>0</v>
      </c>
    </row>
    <row r="170" spans="1:31" s="76" customFormat="1" hidden="1">
      <c r="A170" s="586"/>
      <c r="B170" s="67" t="s">
        <v>34</v>
      </c>
      <c r="C170" s="94" t="s">
        <v>477</v>
      </c>
      <c r="D170" s="657"/>
      <c r="E170" s="665"/>
      <c r="F170" s="663"/>
      <c r="G170" s="663"/>
      <c r="H170" s="663"/>
      <c r="I170" s="652"/>
      <c r="J170" s="68"/>
      <c r="K170" s="68"/>
      <c r="L170" s="74"/>
      <c r="M170" s="73"/>
      <c r="N170" s="73"/>
      <c r="O170" s="73"/>
      <c r="P170" s="73"/>
      <c r="Q170" s="795"/>
      <c r="R170" s="73"/>
      <c r="S170" s="73"/>
      <c r="T170" s="73"/>
      <c r="U170" s="73"/>
      <c r="V170" s="73"/>
      <c r="W170" s="73">
        <v>10000</v>
      </c>
      <c r="X170" s="73"/>
      <c r="Y170" s="73"/>
      <c r="Z170" s="73"/>
      <c r="AA170" s="73"/>
      <c r="AB170" s="73"/>
      <c r="AC170" s="73"/>
      <c r="AD170" s="73"/>
      <c r="AE170" s="73"/>
    </row>
    <row r="171" spans="1:31" s="76" customFormat="1" ht="37.5" hidden="1">
      <c r="A171" s="587"/>
      <c r="B171" s="68" t="s">
        <v>34</v>
      </c>
      <c r="C171" s="94" t="s">
        <v>478</v>
      </c>
      <c r="D171" s="657"/>
      <c r="E171" s="665"/>
      <c r="F171" s="663"/>
      <c r="G171" s="663"/>
      <c r="H171" s="663"/>
      <c r="I171" s="652"/>
      <c r="J171" s="68"/>
      <c r="K171" s="68"/>
      <c r="L171" s="74"/>
      <c r="M171" s="73"/>
      <c r="N171" s="73"/>
      <c r="O171" s="73"/>
      <c r="P171" s="73"/>
      <c r="Q171" s="795"/>
      <c r="R171" s="73"/>
      <c r="S171" s="73"/>
      <c r="T171" s="73"/>
      <c r="U171" s="73"/>
      <c r="V171" s="73"/>
      <c r="W171" s="73">
        <v>20000</v>
      </c>
      <c r="X171" s="73"/>
      <c r="Y171" s="73"/>
      <c r="Z171" s="73"/>
      <c r="AA171" s="73"/>
      <c r="AB171" s="73"/>
      <c r="AC171" s="73"/>
      <c r="AD171" s="73"/>
      <c r="AE171" s="73"/>
    </row>
    <row r="172" spans="1:31" s="263" customFormat="1" ht="31.5">
      <c r="A172" s="258" t="s">
        <v>479</v>
      </c>
      <c r="B172" s="259"/>
      <c r="C172" s="260"/>
      <c r="D172" s="680"/>
      <c r="E172" s="680"/>
      <c r="F172" s="680"/>
      <c r="G172" s="680"/>
      <c r="H172" s="680"/>
      <c r="I172" s="680"/>
      <c r="J172" s="260"/>
      <c r="K172" s="260"/>
      <c r="L172" s="260"/>
      <c r="M172" s="364" t="s">
        <v>34</v>
      </c>
      <c r="N172" s="364"/>
      <c r="O172" s="364"/>
      <c r="P172" s="364"/>
      <c r="Q172" s="809"/>
      <c r="R172" s="364"/>
      <c r="S172" s="364"/>
      <c r="T172" s="259"/>
      <c r="U172" s="259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2"/>
    </row>
    <row r="173" spans="1:31" s="179" customFormat="1" ht="23.25">
      <c r="A173" s="356" t="s">
        <v>416</v>
      </c>
      <c r="B173" s="176"/>
      <c r="C173" s="49"/>
      <c r="D173" s="664"/>
      <c r="E173" s="664"/>
      <c r="F173" s="664"/>
      <c r="G173" s="664"/>
      <c r="H173" s="664"/>
      <c r="I173" s="664"/>
      <c r="J173" s="49"/>
      <c r="K173" s="49"/>
      <c r="L173" s="49"/>
      <c r="M173" s="357">
        <f>SUM(M174:M177)</f>
        <v>480000</v>
      </c>
      <c r="N173" s="357"/>
      <c r="O173" s="357"/>
      <c r="P173" s="357"/>
      <c r="Q173" s="798"/>
      <c r="R173" s="357"/>
      <c r="S173" s="357"/>
      <c r="T173" s="357" t="s">
        <v>546</v>
      </c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9"/>
    </row>
    <row r="174" spans="1:31" s="58" customFormat="1" ht="380.25" customHeight="1">
      <c r="A174" s="578" t="s">
        <v>480</v>
      </c>
      <c r="B174" s="199" t="s">
        <v>455</v>
      </c>
      <c r="C174" s="199" t="s">
        <v>481</v>
      </c>
      <c r="D174" s="502" t="s">
        <v>944</v>
      </c>
      <c r="E174" s="502" t="s">
        <v>943</v>
      </c>
      <c r="F174" s="502" t="s">
        <v>945</v>
      </c>
      <c r="G174" s="502" t="s">
        <v>946</v>
      </c>
      <c r="H174" s="502" t="s">
        <v>947</v>
      </c>
      <c r="I174" s="656" t="s">
        <v>57</v>
      </c>
      <c r="J174" s="506" t="s">
        <v>889</v>
      </c>
      <c r="K174" s="715" t="s">
        <v>948</v>
      </c>
      <c r="L174" s="556" t="s">
        <v>854</v>
      </c>
      <c r="M174" s="64">
        <v>150000</v>
      </c>
      <c r="N174" s="64"/>
      <c r="O174" s="499" t="s">
        <v>1185</v>
      </c>
      <c r="P174" s="64">
        <v>50000</v>
      </c>
      <c r="Q174" s="817"/>
      <c r="R174" s="721" t="s">
        <v>976</v>
      </c>
      <c r="S174" s="64"/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f>V174+W174+X174</f>
        <v>0</v>
      </c>
      <c r="Z174" s="55">
        <v>0</v>
      </c>
      <c r="AA174" s="55">
        <v>0</v>
      </c>
      <c r="AB174" s="55">
        <v>0</v>
      </c>
      <c r="AC174" s="55">
        <f>AA174+AB174</f>
        <v>0</v>
      </c>
      <c r="AD174" s="55"/>
      <c r="AE174" s="202">
        <v>150000</v>
      </c>
    </row>
    <row r="175" spans="1:31" s="58" customFormat="1" ht="330">
      <c r="A175" s="578" t="s">
        <v>482</v>
      </c>
      <c r="B175" s="199" t="s">
        <v>455</v>
      </c>
      <c r="C175" s="199" t="s">
        <v>483</v>
      </c>
      <c r="D175" s="502" t="s">
        <v>949</v>
      </c>
      <c r="E175" s="502" t="s">
        <v>950</v>
      </c>
      <c r="F175" s="502" t="s">
        <v>951</v>
      </c>
      <c r="G175" s="502" t="s">
        <v>952</v>
      </c>
      <c r="H175" s="502" t="s">
        <v>953</v>
      </c>
      <c r="I175" s="656" t="s">
        <v>57</v>
      </c>
      <c r="J175" s="506" t="s">
        <v>889</v>
      </c>
      <c r="K175" s="715" t="s">
        <v>954</v>
      </c>
      <c r="L175" s="556" t="s">
        <v>854</v>
      </c>
      <c r="M175" s="64">
        <v>150000</v>
      </c>
      <c r="N175" s="64"/>
      <c r="O175" s="499" t="s">
        <v>1186</v>
      </c>
      <c r="P175" s="64">
        <v>50000</v>
      </c>
      <c r="Q175" s="817"/>
      <c r="R175" s="64" t="s">
        <v>977</v>
      </c>
      <c r="S175" s="64"/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f>V175+W175+X175</f>
        <v>0</v>
      </c>
      <c r="Z175" s="55">
        <v>0</v>
      </c>
      <c r="AA175" s="55">
        <v>0</v>
      </c>
      <c r="AB175" s="55">
        <v>0</v>
      </c>
      <c r="AC175" s="55">
        <f>AA175+AB175</f>
        <v>0</v>
      </c>
      <c r="AD175" s="55"/>
      <c r="AE175" s="202">
        <v>150000</v>
      </c>
    </row>
    <row r="176" spans="1:31" s="58" customFormat="1" ht="360">
      <c r="A176" s="578" t="s">
        <v>484</v>
      </c>
      <c r="B176" s="199" t="s">
        <v>365</v>
      </c>
      <c r="C176" s="52" t="s">
        <v>556</v>
      </c>
      <c r="D176" s="502" t="s">
        <v>933</v>
      </c>
      <c r="E176" s="502" t="s">
        <v>934</v>
      </c>
      <c r="F176" s="502" t="s">
        <v>935</v>
      </c>
      <c r="G176" s="502" t="s">
        <v>936</v>
      </c>
      <c r="H176" s="502" t="s">
        <v>937</v>
      </c>
      <c r="I176" s="656" t="s">
        <v>57</v>
      </c>
      <c r="J176" s="506" t="s">
        <v>890</v>
      </c>
      <c r="K176" s="54"/>
      <c r="L176" s="556" t="s">
        <v>854</v>
      </c>
      <c r="M176" s="64">
        <v>100000</v>
      </c>
      <c r="N176" s="64"/>
      <c r="O176" s="499" t="s">
        <v>1187</v>
      </c>
      <c r="P176" s="479" t="s">
        <v>1047</v>
      </c>
      <c r="Q176" s="813"/>
      <c r="R176" s="64" t="s">
        <v>1206</v>
      </c>
      <c r="S176" s="64"/>
      <c r="T176" s="55">
        <v>0</v>
      </c>
      <c r="U176" s="55">
        <v>0</v>
      </c>
      <c r="V176" s="55">
        <v>0</v>
      </c>
      <c r="W176" s="55" t="e">
        <f>SUM(#REF!)</f>
        <v>#REF!</v>
      </c>
      <c r="X176" s="55">
        <v>0</v>
      </c>
      <c r="Y176" s="55" t="e">
        <f>V176+W176+X176</f>
        <v>#REF!</v>
      </c>
      <c r="Z176" s="55">
        <v>0</v>
      </c>
      <c r="AA176" s="55">
        <v>0</v>
      </c>
      <c r="AB176" s="55">
        <v>0</v>
      </c>
      <c r="AC176" s="55">
        <f>AA176+AB176</f>
        <v>0</v>
      </c>
      <c r="AD176" s="55"/>
      <c r="AE176" s="202">
        <v>150000</v>
      </c>
    </row>
    <row r="177" spans="1:31" s="58" customFormat="1" ht="234">
      <c r="A177" s="578" t="s">
        <v>495</v>
      </c>
      <c r="B177" s="199" t="s">
        <v>365</v>
      </c>
      <c r="C177" s="52" t="s">
        <v>555</v>
      </c>
      <c r="D177" s="502" t="s">
        <v>938</v>
      </c>
      <c r="E177" s="502" t="s">
        <v>939</v>
      </c>
      <c r="F177" s="502" t="s">
        <v>940</v>
      </c>
      <c r="G177" s="502" t="s">
        <v>941</v>
      </c>
      <c r="H177" s="502" t="s">
        <v>942</v>
      </c>
      <c r="I177" s="656" t="s">
        <v>57</v>
      </c>
      <c r="J177" s="506" t="s">
        <v>890</v>
      </c>
      <c r="K177" s="575"/>
      <c r="L177" s="556" t="s">
        <v>854</v>
      </c>
      <c r="M177" s="64">
        <v>80000</v>
      </c>
      <c r="N177" s="64"/>
      <c r="O177" s="499" t="s">
        <v>1188</v>
      </c>
      <c r="P177" s="479" t="s">
        <v>1047</v>
      </c>
      <c r="Q177" s="813"/>
      <c r="R177" s="64" t="s">
        <v>1206</v>
      </c>
      <c r="S177" s="64"/>
      <c r="T177" s="55">
        <v>0</v>
      </c>
      <c r="U177" s="55">
        <v>0</v>
      </c>
      <c r="V177" s="55">
        <v>0</v>
      </c>
      <c r="W177" s="55" t="e">
        <f>SUM(#REF!)</f>
        <v>#REF!</v>
      </c>
      <c r="X177" s="55">
        <v>0</v>
      </c>
      <c r="Y177" s="55" t="e">
        <f>V177+W177+X177</f>
        <v>#REF!</v>
      </c>
      <c r="Z177" s="55">
        <v>0</v>
      </c>
      <c r="AA177" s="55">
        <v>0</v>
      </c>
      <c r="AB177" s="55">
        <v>0</v>
      </c>
      <c r="AC177" s="55">
        <f>AA177+AB177</f>
        <v>0</v>
      </c>
      <c r="AD177" s="462"/>
      <c r="AE177" s="456">
        <v>90000</v>
      </c>
    </row>
    <row r="178" spans="1:31" s="179" customFormat="1" ht="23.25">
      <c r="A178" s="356" t="s">
        <v>429</v>
      </c>
      <c r="B178" s="176"/>
      <c r="C178" s="49"/>
      <c r="D178" s="664"/>
      <c r="E178" s="664"/>
      <c r="F178" s="664"/>
      <c r="G178" s="664"/>
      <c r="H178" s="664"/>
      <c r="I178" s="664"/>
      <c r="J178" s="49"/>
      <c r="K178" s="49"/>
      <c r="L178" s="49"/>
      <c r="M178" s="357">
        <f>SUM(M180:M181)</f>
        <v>320000</v>
      </c>
      <c r="N178" s="357"/>
      <c r="O178" s="357"/>
      <c r="P178" s="357"/>
      <c r="Q178" s="798"/>
      <c r="R178" s="357"/>
      <c r="S178" s="357"/>
      <c r="T178" s="357" t="s">
        <v>546</v>
      </c>
      <c r="U178" s="358"/>
      <c r="V178" s="358"/>
      <c r="W178" s="358"/>
      <c r="X178" s="358"/>
      <c r="Y178" s="358"/>
      <c r="Z178" s="358"/>
      <c r="AA178" s="358"/>
      <c r="AB178" s="358"/>
      <c r="AC178" s="358"/>
      <c r="AD178" s="358"/>
      <c r="AE178" s="359"/>
    </row>
    <row r="179" spans="1:31" s="159" customFormat="1" ht="54">
      <c r="A179" s="265" t="s">
        <v>34</v>
      </c>
      <c r="B179" s="151" t="s">
        <v>357</v>
      </c>
      <c r="C179" s="151" t="s">
        <v>552</v>
      </c>
      <c r="D179" s="695"/>
      <c r="E179" s="696"/>
      <c r="F179" s="695"/>
      <c r="G179" s="695"/>
      <c r="H179" s="695"/>
      <c r="I179" s="656" t="s">
        <v>57</v>
      </c>
      <c r="J179" s="506" t="s">
        <v>890</v>
      </c>
      <c r="K179" s="151"/>
      <c r="L179" s="155"/>
      <c r="M179" s="158">
        <f>SUM(M180:M181)</f>
        <v>320000</v>
      </c>
      <c r="N179" s="158"/>
      <c r="O179" s="158"/>
      <c r="P179" s="158"/>
      <c r="Q179" s="818"/>
      <c r="R179" s="158"/>
      <c r="S179" s="158"/>
      <c r="T179" s="158" t="s">
        <v>34</v>
      </c>
      <c r="U179" s="158">
        <v>0</v>
      </c>
      <c r="V179" s="158">
        <v>0</v>
      </c>
      <c r="W179" s="158">
        <v>0</v>
      </c>
      <c r="X179" s="158">
        <v>0</v>
      </c>
      <c r="Y179" s="158">
        <f>V179+W179+X179</f>
        <v>0</v>
      </c>
      <c r="Z179" s="158">
        <v>0</v>
      </c>
      <c r="AA179" s="158">
        <v>0</v>
      </c>
      <c r="AB179" s="158">
        <v>0</v>
      </c>
      <c r="AC179" s="158">
        <f>AA179+AB179</f>
        <v>0</v>
      </c>
      <c r="AD179" s="158"/>
      <c r="AE179" s="158">
        <v>770000</v>
      </c>
    </row>
    <row r="180" spans="1:31" s="514" customFormat="1" ht="312.75" customHeight="1">
      <c r="A180" s="510" t="s">
        <v>431</v>
      </c>
      <c r="B180" s="582" t="s">
        <v>181</v>
      </c>
      <c r="C180" s="582" t="s">
        <v>553</v>
      </c>
      <c r="D180" s="659" t="s">
        <v>913</v>
      </c>
      <c r="E180" s="659" t="s">
        <v>914</v>
      </c>
      <c r="F180" s="571" t="s">
        <v>917</v>
      </c>
      <c r="G180" s="659" t="s">
        <v>915</v>
      </c>
      <c r="H180" s="659" t="s">
        <v>916</v>
      </c>
      <c r="I180" s="656" t="s">
        <v>57</v>
      </c>
      <c r="J180" s="506" t="s">
        <v>890</v>
      </c>
      <c r="K180" s="582"/>
      <c r="L180" s="556" t="s">
        <v>854</v>
      </c>
      <c r="M180" s="511">
        <f>W180</f>
        <v>20000</v>
      </c>
      <c r="N180" s="511"/>
      <c r="O180" s="511" t="s">
        <v>1188</v>
      </c>
      <c r="P180" s="479" t="s">
        <v>1047</v>
      </c>
      <c r="Q180" s="813"/>
      <c r="R180" s="64" t="s">
        <v>1206</v>
      </c>
      <c r="S180" s="511"/>
      <c r="T180" s="511"/>
      <c r="U180" s="512"/>
      <c r="V180" s="512"/>
      <c r="W180" s="512">
        <v>20000</v>
      </c>
      <c r="X180" s="512"/>
      <c r="Y180" s="512"/>
      <c r="Z180" s="512"/>
      <c r="AA180" s="512"/>
      <c r="AB180" s="513"/>
      <c r="AC180" s="513"/>
      <c r="AD180" s="513"/>
      <c r="AE180" s="513"/>
    </row>
    <row r="181" spans="1:31" s="501" customFormat="1" ht="180">
      <c r="A181" s="746" t="s">
        <v>433</v>
      </c>
      <c r="B181" s="70" t="s">
        <v>106</v>
      </c>
      <c r="C181" s="70" t="s">
        <v>554</v>
      </c>
      <c r="D181" s="734" t="s">
        <v>918</v>
      </c>
      <c r="E181" s="734" t="s">
        <v>920</v>
      </c>
      <c r="F181" s="734" t="s">
        <v>919</v>
      </c>
      <c r="G181" s="731" t="s">
        <v>922</v>
      </c>
      <c r="H181" s="731" t="s">
        <v>921</v>
      </c>
      <c r="I181" s="544" t="s">
        <v>57</v>
      </c>
      <c r="J181" s="504" t="s">
        <v>890</v>
      </c>
      <c r="K181" s="70"/>
      <c r="L181" s="602" t="s">
        <v>854</v>
      </c>
      <c r="M181" s="515">
        <v>300000</v>
      </c>
      <c r="N181" s="515"/>
      <c r="O181" s="511" t="s">
        <v>1189</v>
      </c>
      <c r="P181" s="515">
        <v>52380</v>
      </c>
      <c r="Q181" s="807"/>
      <c r="R181" s="515" t="s">
        <v>978</v>
      </c>
      <c r="S181" s="515"/>
      <c r="T181" s="515"/>
      <c r="U181" s="516"/>
      <c r="V181" s="516"/>
      <c r="W181" s="516">
        <v>300000</v>
      </c>
      <c r="X181" s="516"/>
      <c r="Y181" s="516"/>
      <c r="Z181" s="516"/>
      <c r="AA181" s="516"/>
      <c r="AB181" s="499"/>
      <c r="AC181" s="499"/>
      <c r="AD181" s="499"/>
      <c r="AE181" s="499"/>
    </row>
    <row r="186" spans="1:31" s="172" customFormat="1">
      <c r="A186" s="337"/>
      <c r="B186" s="338"/>
      <c r="C186" s="338"/>
      <c r="D186" s="698"/>
      <c r="E186" s="698"/>
      <c r="F186" s="698"/>
      <c r="G186" s="698"/>
      <c r="H186" s="698"/>
      <c r="I186" s="698"/>
      <c r="J186" s="338"/>
      <c r="K186" s="338"/>
      <c r="L186" s="341"/>
      <c r="M186" s="341"/>
      <c r="N186" s="341"/>
      <c r="O186" s="341"/>
      <c r="P186" s="341"/>
      <c r="Q186" s="819"/>
      <c r="R186" s="341"/>
      <c r="S186" s="341"/>
      <c r="T186" s="341"/>
      <c r="U186" s="342"/>
      <c r="V186" s="342"/>
      <c r="W186" s="342"/>
      <c r="X186" s="342"/>
      <c r="Y186" s="342"/>
      <c r="Z186" s="342"/>
      <c r="AA186" s="342"/>
      <c r="AB186" s="343"/>
      <c r="AC186" s="343"/>
      <c r="AD186" s="343"/>
      <c r="AE186" s="343"/>
    </row>
    <row r="187" spans="1:31" s="172" customFormat="1">
      <c r="A187" s="337"/>
      <c r="B187" s="338"/>
      <c r="C187" s="338"/>
      <c r="D187" s="698"/>
      <c r="E187" s="698"/>
      <c r="F187" s="698"/>
      <c r="G187" s="698"/>
      <c r="H187" s="698"/>
      <c r="I187" s="698"/>
      <c r="J187" s="338"/>
      <c r="K187" s="338"/>
      <c r="L187" s="341"/>
      <c r="M187" s="341"/>
      <c r="N187" s="341"/>
      <c r="O187" s="341"/>
      <c r="P187" s="341"/>
      <c r="Q187" s="819"/>
      <c r="R187" s="341"/>
      <c r="S187" s="341"/>
      <c r="T187" s="341"/>
      <c r="U187" s="342"/>
      <c r="V187" s="342"/>
      <c r="W187" s="342"/>
      <c r="X187" s="342"/>
      <c r="Y187" s="342"/>
      <c r="Z187" s="342"/>
      <c r="AA187" s="342"/>
      <c r="AB187" s="343"/>
      <c r="AC187" s="343"/>
      <c r="AD187" s="343"/>
      <c r="AE187" s="343"/>
    </row>
    <row r="188" spans="1:31" s="172" customFormat="1">
      <c r="A188" s="337"/>
      <c r="B188" s="338"/>
      <c r="C188" s="338"/>
      <c r="D188" s="698"/>
      <c r="E188" s="698"/>
      <c r="F188" s="698"/>
      <c r="G188" s="698"/>
      <c r="H188" s="698"/>
      <c r="I188" s="698"/>
      <c r="J188" s="338"/>
      <c r="K188" s="338"/>
      <c r="L188" s="341"/>
      <c r="M188" s="341"/>
      <c r="N188" s="341"/>
      <c r="O188" s="341"/>
      <c r="P188" s="341"/>
      <c r="Q188" s="819"/>
      <c r="R188" s="341"/>
      <c r="S188" s="341"/>
      <c r="T188" s="341"/>
      <c r="U188" s="342"/>
      <c r="V188" s="342"/>
      <c r="W188" s="342"/>
      <c r="X188" s="342"/>
      <c r="Y188" s="342"/>
      <c r="Z188" s="342"/>
      <c r="AA188" s="342"/>
      <c r="AB188" s="343"/>
      <c r="AC188" s="343"/>
      <c r="AD188" s="343"/>
      <c r="AE188" s="343"/>
    </row>
    <row r="189" spans="1:31" s="172" customFormat="1">
      <c r="A189" s="337"/>
      <c r="B189" s="338"/>
      <c r="C189" s="338"/>
      <c r="D189" s="698"/>
      <c r="E189" s="698"/>
      <c r="F189" s="698"/>
      <c r="G189" s="698"/>
      <c r="H189" s="698"/>
      <c r="I189" s="698"/>
      <c r="J189" s="338"/>
      <c r="K189" s="338"/>
      <c r="L189" s="341"/>
      <c r="M189" s="341"/>
      <c r="N189" s="341"/>
      <c r="O189" s="341"/>
      <c r="P189" s="341"/>
      <c r="Q189" s="819"/>
      <c r="R189" s="341"/>
      <c r="S189" s="341"/>
      <c r="T189" s="341"/>
      <c r="U189" s="342"/>
      <c r="V189" s="342"/>
      <c r="W189" s="342"/>
      <c r="X189" s="342"/>
      <c r="Y189" s="342"/>
      <c r="Z189" s="342"/>
      <c r="AA189" s="342"/>
      <c r="AB189" s="343"/>
      <c r="AC189" s="343"/>
      <c r="AD189" s="343"/>
      <c r="AE189" s="343"/>
    </row>
    <row r="190" spans="1:31" s="172" customFormat="1">
      <c r="A190" s="337"/>
      <c r="B190" s="338"/>
      <c r="C190" s="338"/>
      <c r="D190" s="698"/>
      <c r="E190" s="698"/>
      <c r="F190" s="698"/>
      <c r="G190" s="698"/>
      <c r="H190" s="698"/>
      <c r="I190" s="698"/>
      <c r="J190" s="338"/>
      <c r="K190" s="338"/>
      <c r="L190" s="341"/>
      <c r="M190" s="341"/>
      <c r="N190" s="341"/>
      <c r="O190" s="341"/>
      <c r="P190" s="341"/>
      <c r="Q190" s="819"/>
      <c r="R190" s="341"/>
      <c r="S190" s="341"/>
      <c r="T190" s="341"/>
      <c r="U190" s="342"/>
      <c r="V190" s="342"/>
      <c r="W190" s="342"/>
      <c r="X190" s="342"/>
      <c r="Y190" s="342"/>
      <c r="Z190" s="342"/>
      <c r="AA190" s="342"/>
      <c r="AB190" s="343"/>
      <c r="AC190" s="343"/>
      <c r="AD190" s="343"/>
      <c r="AE190" s="343"/>
    </row>
    <row r="191" spans="1:31" s="172" customFormat="1">
      <c r="A191" s="337"/>
      <c r="B191" s="338"/>
      <c r="C191" s="338"/>
      <c r="D191" s="698"/>
      <c r="E191" s="698"/>
      <c r="F191" s="698"/>
      <c r="G191" s="698"/>
      <c r="H191" s="698"/>
      <c r="I191" s="698"/>
      <c r="J191" s="338"/>
      <c r="K191" s="338"/>
      <c r="L191" s="341"/>
      <c r="M191" s="341"/>
      <c r="N191" s="341"/>
      <c r="O191" s="341"/>
      <c r="P191" s="341"/>
      <c r="Q191" s="819"/>
      <c r="R191" s="341"/>
      <c r="S191" s="341"/>
      <c r="T191" s="341"/>
      <c r="U191" s="342"/>
      <c r="V191" s="342"/>
      <c r="W191" s="342"/>
      <c r="X191" s="342"/>
      <c r="Y191" s="342"/>
      <c r="Z191" s="342"/>
      <c r="AA191" s="342"/>
      <c r="AB191" s="343"/>
      <c r="AC191" s="343"/>
      <c r="AD191" s="343"/>
      <c r="AE191" s="343"/>
    </row>
    <row r="192" spans="1:31" s="172" customFormat="1">
      <c r="A192" s="337"/>
      <c r="B192" s="338"/>
      <c r="C192" s="338"/>
      <c r="D192" s="698"/>
      <c r="E192" s="698"/>
      <c r="F192" s="698"/>
      <c r="G192" s="698"/>
      <c r="H192" s="698"/>
      <c r="I192" s="698"/>
      <c r="J192" s="338"/>
      <c r="K192" s="338"/>
      <c r="L192" s="341"/>
      <c r="M192" s="341"/>
      <c r="N192" s="341"/>
      <c r="O192" s="341"/>
      <c r="P192" s="341"/>
      <c r="Q192" s="819"/>
      <c r="R192" s="341"/>
      <c r="S192" s="341"/>
      <c r="T192" s="341"/>
      <c r="U192" s="342"/>
      <c r="V192" s="342"/>
      <c r="W192" s="342"/>
      <c r="X192" s="342"/>
      <c r="Y192" s="342"/>
      <c r="Z192" s="342"/>
      <c r="AA192" s="342"/>
      <c r="AB192" s="343"/>
      <c r="AC192" s="343"/>
      <c r="AD192" s="343"/>
      <c r="AE192" s="343"/>
    </row>
    <row r="193" spans="1:31" s="172" customFormat="1">
      <c r="A193" s="337"/>
      <c r="B193" s="338"/>
      <c r="C193" s="338"/>
      <c r="D193" s="698"/>
      <c r="E193" s="698"/>
      <c r="F193" s="698"/>
      <c r="G193" s="698"/>
      <c r="H193" s="698"/>
      <c r="I193" s="698"/>
      <c r="J193" s="338"/>
      <c r="K193" s="338"/>
      <c r="L193" s="341"/>
      <c r="M193" s="341"/>
      <c r="N193" s="341"/>
      <c r="O193" s="341"/>
      <c r="P193" s="341"/>
      <c r="Q193" s="819"/>
      <c r="R193" s="341"/>
      <c r="S193" s="341"/>
      <c r="T193" s="341"/>
      <c r="U193" s="342"/>
      <c r="V193" s="342"/>
      <c r="W193" s="342"/>
      <c r="X193" s="342"/>
      <c r="Y193" s="342"/>
      <c r="Z193" s="342"/>
      <c r="AA193" s="342"/>
      <c r="AB193" s="343"/>
      <c r="AC193" s="343"/>
      <c r="AD193" s="343"/>
      <c r="AE193" s="343"/>
    </row>
    <row r="194" spans="1:31" s="172" customFormat="1">
      <c r="A194" s="337"/>
      <c r="B194" s="338"/>
      <c r="C194" s="338"/>
      <c r="D194" s="698"/>
      <c r="E194" s="698"/>
      <c r="F194" s="698"/>
      <c r="G194" s="698"/>
      <c r="H194" s="698"/>
      <c r="I194" s="698"/>
      <c r="J194" s="338"/>
      <c r="K194" s="338"/>
      <c r="L194" s="341"/>
      <c r="M194" s="341"/>
      <c r="N194" s="341"/>
      <c r="O194" s="341"/>
      <c r="P194" s="341"/>
      <c r="Q194" s="819"/>
      <c r="R194" s="341"/>
      <c r="S194" s="341"/>
      <c r="T194" s="341"/>
      <c r="U194" s="342"/>
      <c r="V194" s="342"/>
      <c r="W194" s="342"/>
      <c r="X194" s="342"/>
      <c r="Y194" s="342"/>
      <c r="Z194" s="342"/>
      <c r="AA194" s="342"/>
      <c r="AB194" s="343"/>
      <c r="AC194" s="343"/>
      <c r="AD194" s="343"/>
      <c r="AE194" s="343"/>
    </row>
    <row r="195" spans="1:31" s="172" customFormat="1">
      <c r="A195" s="337"/>
      <c r="B195" s="338"/>
      <c r="C195" s="338"/>
      <c r="D195" s="698"/>
      <c r="E195" s="698"/>
      <c r="F195" s="698"/>
      <c r="G195" s="698"/>
      <c r="H195" s="698"/>
      <c r="I195" s="698"/>
      <c r="J195" s="338"/>
      <c r="K195" s="338"/>
      <c r="L195" s="341"/>
      <c r="M195" s="341"/>
      <c r="N195" s="341"/>
      <c r="O195" s="341"/>
      <c r="P195" s="341"/>
      <c r="Q195" s="819"/>
      <c r="R195" s="341"/>
      <c r="S195" s="341"/>
      <c r="T195" s="341"/>
      <c r="U195" s="342"/>
      <c r="V195" s="342"/>
      <c r="W195" s="342"/>
      <c r="X195" s="342"/>
      <c r="Y195" s="342"/>
      <c r="Z195" s="342"/>
      <c r="AA195" s="342"/>
      <c r="AB195" s="343"/>
      <c r="AC195" s="343"/>
      <c r="AD195" s="343"/>
      <c r="AE195" s="343"/>
    </row>
    <row r="196" spans="1:31" s="172" customFormat="1">
      <c r="A196" s="337"/>
      <c r="B196" s="338"/>
      <c r="C196" s="338"/>
      <c r="D196" s="698"/>
      <c r="E196" s="698"/>
      <c r="F196" s="698"/>
      <c r="G196" s="698"/>
      <c r="H196" s="698"/>
      <c r="I196" s="698"/>
      <c r="J196" s="338"/>
      <c r="K196" s="338"/>
      <c r="L196" s="341"/>
      <c r="M196" s="341"/>
      <c r="N196" s="341"/>
      <c r="O196" s="341"/>
      <c r="P196" s="341"/>
      <c r="Q196" s="819"/>
      <c r="R196" s="341"/>
      <c r="S196" s="341"/>
      <c r="T196" s="341"/>
      <c r="U196" s="342"/>
      <c r="V196" s="342"/>
      <c r="W196" s="342"/>
      <c r="X196" s="342"/>
      <c r="Y196" s="342"/>
      <c r="Z196" s="342"/>
      <c r="AA196" s="342"/>
      <c r="AB196" s="343"/>
      <c r="AC196" s="343"/>
      <c r="AD196" s="343"/>
      <c r="AE196" s="343"/>
    </row>
    <row r="197" spans="1:31" s="172" customFormat="1">
      <c r="A197" s="337"/>
      <c r="B197" s="338"/>
      <c r="C197" s="338"/>
      <c r="D197" s="698"/>
      <c r="E197" s="698"/>
      <c r="F197" s="698"/>
      <c r="G197" s="698"/>
      <c r="H197" s="698"/>
      <c r="I197" s="698"/>
      <c r="J197" s="338"/>
      <c r="K197" s="338"/>
      <c r="L197" s="341"/>
      <c r="M197" s="341"/>
      <c r="N197" s="341"/>
      <c r="O197" s="341"/>
      <c r="P197" s="341"/>
      <c r="Q197" s="819"/>
      <c r="R197" s="341"/>
      <c r="S197" s="341"/>
      <c r="T197" s="341"/>
      <c r="U197" s="342"/>
      <c r="V197" s="342"/>
      <c r="W197" s="342"/>
      <c r="X197" s="342"/>
      <c r="Y197" s="342"/>
      <c r="Z197" s="342"/>
      <c r="AA197" s="342"/>
      <c r="AB197" s="343"/>
      <c r="AC197" s="343"/>
      <c r="AD197" s="343"/>
      <c r="AE197" s="343"/>
    </row>
    <row r="198" spans="1:31" s="172" customFormat="1">
      <c r="A198" s="337"/>
      <c r="B198" s="338"/>
      <c r="C198" s="338"/>
      <c r="D198" s="698"/>
      <c r="E198" s="698"/>
      <c r="F198" s="698"/>
      <c r="G198" s="698"/>
      <c r="H198" s="698"/>
      <c r="I198" s="698"/>
      <c r="J198" s="338"/>
      <c r="K198" s="338"/>
      <c r="L198" s="341"/>
      <c r="M198" s="341"/>
      <c r="N198" s="341"/>
      <c r="O198" s="341"/>
      <c r="P198" s="341"/>
      <c r="Q198" s="819"/>
      <c r="R198" s="341"/>
      <c r="S198" s="341"/>
      <c r="T198" s="341"/>
      <c r="U198" s="342"/>
      <c r="V198" s="342"/>
      <c r="W198" s="342"/>
      <c r="X198" s="342"/>
      <c r="Y198" s="342"/>
      <c r="Z198" s="342"/>
      <c r="AA198" s="342"/>
      <c r="AB198" s="343"/>
      <c r="AC198" s="343"/>
      <c r="AD198" s="343"/>
      <c r="AE198" s="343"/>
    </row>
    <row r="199" spans="1:31" s="172" customFormat="1">
      <c r="A199" s="337"/>
      <c r="B199" s="338"/>
      <c r="C199" s="338"/>
      <c r="D199" s="698"/>
      <c r="E199" s="698"/>
      <c r="F199" s="698"/>
      <c r="G199" s="698"/>
      <c r="H199" s="698"/>
      <c r="I199" s="698"/>
      <c r="J199" s="338"/>
      <c r="K199" s="338"/>
      <c r="L199" s="341"/>
      <c r="M199" s="341"/>
      <c r="N199" s="341"/>
      <c r="O199" s="341"/>
      <c r="P199" s="341"/>
      <c r="Q199" s="819"/>
      <c r="R199" s="341"/>
      <c r="S199" s="341"/>
      <c r="T199" s="341"/>
      <c r="U199" s="342"/>
      <c r="V199" s="342"/>
      <c r="W199" s="342"/>
      <c r="X199" s="342"/>
      <c r="Y199" s="342"/>
      <c r="Z199" s="342"/>
      <c r="AA199" s="342"/>
      <c r="AB199" s="343"/>
      <c r="AC199" s="343"/>
      <c r="AD199" s="343"/>
      <c r="AE199" s="343"/>
    </row>
    <row r="200" spans="1:31" s="172" customFormat="1">
      <c r="A200" s="337"/>
      <c r="B200" s="338"/>
      <c r="C200" s="338"/>
      <c r="D200" s="698"/>
      <c r="E200" s="698"/>
      <c r="F200" s="698"/>
      <c r="G200" s="698"/>
      <c r="H200" s="698"/>
      <c r="I200" s="698"/>
      <c r="J200" s="338"/>
      <c r="K200" s="338"/>
      <c r="L200" s="341"/>
      <c r="M200" s="341"/>
      <c r="N200" s="341"/>
      <c r="O200" s="341"/>
      <c r="P200" s="341"/>
      <c r="Q200" s="819"/>
      <c r="R200" s="341"/>
      <c r="S200" s="341"/>
      <c r="T200" s="341"/>
      <c r="U200" s="342"/>
      <c r="V200" s="342"/>
      <c r="W200" s="342"/>
      <c r="X200" s="342"/>
      <c r="Y200" s="342"/>
      <c r="Z200" s="342"/>
      <c r="AA200" s="342"/>
      <c r="AB200" s="343"/>
      <c r="AC200" s="343"/>
      <c r="AD200" s="343"/>
      <c r="AE200" s="343"/>
    </row>
    <row r="201" spans="1:31" s="172" customFormat="1">
      <c r="A201" s="337"/>
      <c r="B201" s="338"/>
      <c r="C201" s="338"/>
      <c r="D201" s="698"/>
      <c r="E201" s="698"/>
      <c r="F201" s="698"/>
      <c r="G201" s="698"/>
      <c r="H201" s="698"/>
      <c r="I201" s="698"/>
      <c r="J201" s="338"/>
      <c r="K201" s="338"/>
      <c r="L201" s="341"/>
      <c r="M201" s="341"/>
      <c r="N201" s="341"/>
      <c r="O201" s="341"/>
      <c r="P201" s="341"/>
      <c r="Q201" s="819"/>
      <c r="R201" s="341"/>
      <c r="S201" s="341"/>
      <c r="T201" s="341"/>
      <c r="U201" s="342"/>
      <c r="V201" s="342"/>
      <c r="W201" s="342"/>
      <c r="X201" s="342"/>
      <c r="Y201" s="342"/>
      <c r="Z201" s="342"/>
      <c r="AA201" s="342"/>
      <c r="AB201" s="343"/>
      <c r="AC201" s="343"/>
      <c r="AD201" s="343"/>
      <c r="AE201" s="343"/>
    </row>
    <row r="202" spans="1:31" s="172" customFormat="1">
      <c r="A202" s="337"/>
      <c r="B202" s="338"/>
      <c r="C202" s="338"/>
      <c r="D202" s="698"/>
      <c r="E202" s="698"/>
      <c r="F202" s="698"/>
      <c r="G202" s="698"/>
      <c r="H202" s="698"/>
      <c r="I202" s="698"/>
      <c r="J202" s="338"/>
      <c r="K202" s="338"/>
      <c r="L202" s="341"/>
      <c r="M202" s="341"/>
      <c r="N202" s="341"/>
      <c r="O202" s="341"/>
      <c r="P202" s="341"/>
      <c r="Q202" s="819"/>
      <c r="R202" s="341"/>
      <c r="S202" s="341"/>
      <c r="T202" s="341"/>
      <c r="U202" s="342"/>
      <c r="V202" s="342"/>
      <c r="W202" s="342"/>
      <c r="X202" s="342"/>
      <c r="Y202" s="342"/>
      <c r="Z202" s="342"/>
      <c r="AA202" s="342"/>
      <c r="AB202" s="343"/>
      <c r="AC202" s="343"/>
      <c r="AD202" s="343"/>
      <c r="AE202" s="343"/>
    </row>
    <row r="203" spans="1:31" s="172" customFormat="1">
      <c r="A203" s="337"/>
      <c r="B203" s="338"/>
      <c r="C203" s="338"/>
      <c r="D203" s="698"/>
      <c r="E203" s="698"/>
      <c r="F203" s="698"/>
      <c r="G203" s="698"/>
      <c r="H203" s="698"/>
      <c r="I203" s="698"/>
      <c r="J203" s="338"/>
      <c r="K203" s="338"/>
      <c r="L203" s="341"/>
      <c r="M203" s="341"/>
      <c r="N203" s="341"/>
      <c r="O203" s="341"/>
      <c r="P203" s="341"/>
      <c r="Q203" s="819"/>
      <c r="R203" s="341"/>
      <c r="S203" s="341"/>
      <c r="T203" s="341"/>
      <c r="U203" s="342"/>
      <c r="V203" s="342"/>
      <c r="W203" s="342"/>
      <c r="X203" s="342"/>
      <c r="Y203" s="342"/>
      <c r="Z203" s="342"/>
      <c r="AA203" s="342"/>
      <c r="AB203" s="343"/>
      <c r="AC203" s="343"/>
      <c r="AD203" s="343"/>
      <c r="AE203" s="343"/>
    </row>
    <row r="204" spans="1:31" s="172" customFormat="1">
      <c r="A204" s="337"/>
      <c r="B204" s="338"/>
      <c r="C204" s="338"/>
      <c r="D204" s="698"/>
      <c r="E204" s="698"/>
      <c r="F204" s="698"/>
      <c r="G204" s="698"/>
      <c r="H204" s="698"/>
      <c r="I204" s="698"/>
      <c r="J204" s="338"/>
      <c r="K204" s="338"/>
      <c r="L204" s="341"/>
      <c r="M204" s="341"/>
      <c r="N204" s="341"/>
      <c r="O204" s="341"/>
      <c r="P204" s="341"/>
      <c r="Q204" s="819"/>
      <c r="R204" s="341"/>
      <c r="S204" s="341"/>
      <c r="T204" s="341"/>
      <c r="U204" s="342"/>
      <c r="V204" s="342"/>
      <c r="W204" s="342"/>
      <c r="X204" s="342"/>
      <c r="Y204" s="342"/>
      <c r="Z204" s="342"/>
      <c r="AA204" s="342"/>
      <c r="AB204" s="343"/>
      <c r="AC204" s="343"/>
      <c r="AD204" s="343"/>
      <c r="AE204" s="343"/>
    </row>
    <row r="205" spans="1:31" s="172" customFormat="1">
      <c r="A205" s="337"/>
      <c r="B205" s="338"/>
      <c r="C205" s="338"/>
      <c r="D205" s="698"/>
      <c r="E205" s="698"/>
      <c r="F205" s="698"/>
      <c r="G205" s="698"/>
      <c r="H205" s="698"/>
      <c r="I205" s="698"/>
      <c r="J205" s="338"/>
      <c r="K205" s="338"/>
      <c r="L205" s="341"/>
      <c r="M205" s="341"/>
      <c r="N205" s="341"/>
      <c r="O205" s="341"/>
      <c r="P205" s="341"/>
      <c r="Q205" s="819"/>
      <c r="R205" s="341"/>
      <c r="S205" s="341"/>
      <c r="T205" s="341"/>
      <c r="U205" s="342"/>
      <c r="V205" s="342"/>
      <c r="W205" s="342"/>
      <c r="X205" s="342"/>
      <c r="Y205" s="342"/>
      <c r="Z205" s="342"/>
      <c r="AA205" s="342"/>
      <c r="AB205" s="343"/>
      <c r="AC205" s="343"/>
      <c r="AD205" s="343"/>
      <c r="AE205" s="343"/>
    </row>
    <row r="206" spans="1:31" s="172" customFormat="1">
      <c r="A206" s="337"/>
      <c r="B206" s="338"/>
      <c r="C206" s="338"/>
      <c r="D206" s="698"/>
      <c r="E206" s="698"/>
      <c r="F206" s="698"/>
      <c r="G206" s="698"/>
      <c r="H206" s="698"/>
      <c r="I206" s="698"/>
      <c r="J206" s="338"/>
      <c r="K206" s="338"/>
      <c r="L206" s="341"/>
      <c r="M206" s="341"/>
      <c r="N206" s="341"/>
      <c r="O206" s="341"/>
      <c r="P206" s="341"/>
      <c r="Q206" s="819"/>
      <c r="R206" s="341"/>
      <c r="S206" s="341"/>
      <c r="T206" s="341"/>
      <c r="U206" s="342"/>
      <c r="V206" s="342"/>
      <c r="W206" s="342"/>
      <c r="X206" s="342"/>
      <c r="Y206" s="342"/>
      <c r="Z206" s="342"/>
      <c r="AA206" s="342"/>
      <c r="AB206" s="343"/>
      <c r="AC206" s="343"/>
      <c r="AD206" s="343"/>
      <c r="AE206" s="343"/>
    </row>
    <row r="207" spans="1:31" ht="84">
      <c r="C207" s="281" t="s">
        <v>517</v>
      </c>
      <c r="D207" s="685"/>
      <c r="E207" s="685"/>
      <c r="F207" s="685"/>
      <c r="G207" s="685"/>
      <c r="H207" s="685"/>
      <c r="I207" s="685"/>
      <c r="J207" s="281"/>
      <c r="K207" s="281"/>
      <c r="L207" s="281"/>
      <c r="M207" s="281" t="s">
        <v>518</v>
      </c>
      <c r="N207" s="281"/>
      <c r="O207" s="281"/>
      <c r="P207" s="281"/>
      <c r="Q207" s="820"/>
      <c r="R207" s="281"/>
      <c r="S207" s="281"/>
      <c r="T207" s="281" t="s">
        <v>519</v>
      </c>
      <c r="U207" s="281" t="s">
        <v>520</v>
      </c>
      <c r="V207" s="281" t="s">
        <v>519</v>
      </c>
      <c r="W207" s="281" t="s">
        <v>521</v>
      </c>
      <c r="X207" s="281" t="s">
        <v>519</v>
      </c>
      <c r="Y207" s="281" t="s">
        <v>522</v>
      </c>
      <c r="Z207" s="281" t="s">
        <v>523</v>
      </c>
      <c r="AA207" s="281" t="s">
        <v>524</v>
      </c>
      <c r="AB207" s="282" t="s">
        <v>37</v>
      </c>
    </row>
    <row r="208" spans="1:31">
      <c r="C208" s="283" t="s">
        <v>525</v>
      </c>
      <c r="D208" s="693"/>
      <c r="E208" s="693"/>
      <c r="F208" s="693"/>
      <c r="G208" s="693"/>
      <c r="H208" s="693"/>
      <c r="I208" s="693"/>
      <c r="J208" s="284"/>
      <c r="K208" s="284"/>
      <c r="L208" s="284"/>
      <c r="M208" s="285">
        <f>M10+M19+M34+M35</f>
        <v>22811900</v>
      </c>
      <c r="N208" s="285"/>
      <c r="O208" s="285"/>
      <c r="P208" s="285"/>
      <c r="Q208" s="821"/>
      <c r="R208" s="285"/>
      <c r="S208" s="285"/>
      <c r="T208" s="285">
        <f>M208/Y208*100</f>
        <v>67.145169835756761</v>
      </c>
      <c r="U208" s="285">
        <f>M52+M70+M90</f>
        <v>11162100</v>
      </c>
      <c r="V208" s="285">
        <f>U208/Y208*100</f>
        <v>32.854830164243239</v>
      </c>
      <c r="W208" s="285">
        <v>0</v>
      </c>
      <c r="X208" s="285">
        <v>0</v>
      </c>
      <c r="Y208" s="286">
        <f>M208+U208+W208</f>
        <v>33974000</v>
      </c>
      <c r="Z208" s="287">
        <f>Y208/Y212*100</f>
        <v>82.904462453361049</v>
      </c>
      <c r="AA208" s="281">
        <v>85</v>
      </c>
      <c r="AB208" s="288">
        <f>AA208-Z208</f>
        <v>2.0955375466389512</v>
      </c>
    </row>
    <row r="209" spans="3:28">
      <c r="C209" s="283" t="s">
        <v>526</v>
      </c>
      <c r="D209" s="693"/>
      <c r="E209" s="693"/>
      <c r="F209" s="693"/>
      <c r="G209" s="693"/>
      <c r="H209" s="693"/>
      <c r="I209" s="693"/>
      <c r="J209" s="284"/>
      <c r="K209" s="284"/>
      <c r="L209" s="284"/>
      <c r="M209" s="285">
        <f>M141</f>
        <v>3806000</v>
      </c>
      <c r="N209" s="285"/>
      <c r="O209" s="285"/>
      <c r="P209" s="285"/>
      <c r="Q209" s="821"/>
      <c r="R209" s="285"/>
      <c r="S209" s="285"/>
      <c r="T209" s="285">
        <f>M209/Y209*100</f>
        <v>88.759328358208961</v>
      </c>
      <c r="U209" s="285">
        <f>M149</f>
        <v>482000</v>
      </c>
      <c r="V209" s="285">
        <f>U209/Y209*100</f>
        <v>11.240671641791044</v>
      </c>
      <c r="W209" s="285">
        <v>0</v>
      </c>
      <c r="X209" s="285">
        <v>0</v>
      </c>
      <c r="Y209" s="286">
        <f>M209+U209+W209</f>
        <v>4288000</v>
      </c>
      <c r="Z209" s="287">
        <f>Y209/Y212*100</f>
        <v>10.463717401542715</v>
      </c>
      <c r="AA209" s="281">
        <v>10</v>
      </c>
      <c r="AB209" s="288">
        <f>AA209-Z209</f>
        <v>-0.46371740154271457</v>
      </c>
    </row>
    <row r="210" spans="3:28">
      <c r="C210" s="283" t="s">
        <v>527</v>
      </c>
      <c r="D210" s="693"/>
      <c r="E210" s="693"/>
      <c r="F210" s="693"/>
      <c r="G210" s="693"/>
      <c r="H210" s="693"/>
      <c r="I210" s="693"/>
      <c r="J210" s="284"/>
      <c r="K210" s="284"/>
      <c r="L210" s="284"/>
      <c r="M210" s="285">
        <f>M157</f>
        <v>1887700</v>
      </c>
      <c r="N210" s="285"/>
      <c r="O210" s="285"/>
      <c r="P210" s="285"/>
      <c r="Q210" s="821"/>
      <c r="R210" s="285"/>
      <c r="S210" s="285"/>
      <c r="T210" s="285">
        <f>M210/Y210*100</f>
        <v>98.435626010324867</v>
      </c>
      <c r="U210" s="285">
        <f>M168</f>
        <v>30000</v>
      </c>
      <c r="V210" s="285">
        <f>U210/Y210*100</f>
        <v>1.5643739896751316</v>
      </c>
      <c r="W210" s="285">
        <v>0</v>
      </c>
      <c r="X210" s="285">
        <v>0</v>
      </c>
      <c r="Y210" s="286">
        <f>M210+U210+W210</f>
        <v>1917700</v>
      </c>
      <c r="Z210" s="287">
        <f>Y210/Y212*100</f>
        <v>4.6796340627188586</v>
      </c>
      <c r="AA210" s="281">
        <v>4</v>
      </c>
      <c r="AB210" s="288">
        <f>AA210-Z210</f>
        <v>-0.67963406271885862</v>
      </c>
    </row>
    <row r="211" spans="3:28">
      <c r="C211" s="283" t="s">
        <v>528</v>
      </c>
      <c r="D211" s="693"/>
      <c r="E211" s="693"/>
      <c r="F211" s="693"/>
      <c r="G211" s="693"/>
      <c r="H211" s="693"/>
      <c r="I211" s="693"/>
      <c r="J211" s="284"/>
      <c r="K211" s="284"/>
      <c r="L211" s="284"/>
      <c r="M211" s="285">
        <f>M173</f>
        <v>480000</v>
      </c>
      <c r="N211" s="285"/>
      <c r="O211" s="285"/>
      <c r="P211" s="285"/>
      <c r="Q211" s="821"/>
      <c r="R211" s="285"/>
      <c r="S211" s="285"/>
      <c r="T211" s="285">
        <f>M211/Y211*100</f>
        <v>60</v>
      </c>
      <c r="U211" s="285">
        <f>M179</f>
        <v>320000</v>
      </c>
      <c r="V211" s="285">
        <f>U211/Y211*100</f>
        <v>40</v>
      </c>
      <c r="W211" s="285">
        <v>0</v>
      </c>
      <c r="X211" s="285">
        <v>0</v>
      </c>
      <c r="Y211" s="286">
        <f>M211+U211+W211</f>
        <v>800000</v>
      </c>
      <c r="Z211" s="287">
        <f>Y211/Y212*100</f>
        <v>1.9521860823773722</v>
      </c>
      <c r="AA211" s="281">
        <v>1</v>
      </c>
      <c r="AB211" s="288">
        <f>AA211-Z211</f>
        <v>-0.95218608237737223</v>
      </c>
    </row>
    <row r="212" spans="3:28" ht="21.75" thickBot="1">
      <c r="C212" s="289" t="s">
        <v>522</v>
      </c>
      <c r="D212" s="699"/>
      <c r="E212" s="699"/>
      <c r="F212" s="699"/>
      <c r="G212" s="699"/>
      <c r="H212" s="699"/>
      <c r="I212" s="699"/>
      <c r="J212" s="290"/>
      <c r="K212" s="290"/>
      <c r="L212" s="290"/>
      <c r="M212" s="291"/>
      <c r="N212" s="291"/>
      <c r="O212" s="291"/>
      <c r="P212" s="291"/>
      <c r="Q212" s="822"/>
      <c r="R212" s="291"/>
      <c r="S212" s="291"/>
      <c r="T212" s="291"/>
      <c r="U212" s="291"/>
      <c r="V212" s="291"/>
      <c r="W212" s="291"/>
      <c r="X212" s="291"/>
      <c r="Y212" s="292">
        <f>SUM(Y208:Y211)</f>
        <v>40979700</v>
      </c>
      <c r="Z212" s="293">
        <f>SUM(Z208:Z211)</f>
        <v>99.999999999999986</v>
      </c>
      <c r="AA212" s="289">
        <f>SUM(AA208:AA211)</f>
        <v>100</v>
      </c>
      <c r="AB212" s="294" t="s">
        <v>34</v>
      </c>
    </row>
    <row r="213" spans="3:28" ht="21.75" thickTop="1">
      <c r="C213" s="367"/>
      <c r="D213" s="700"/>
      <c r="E213" s="700"/>
      <c r="F213" s="700"/>
      <c r="G213" s="700"/>
      <c r="H213" s="700"/>
      <c r="I213" s="700"/>
      <c r="J213" s="306"/>
      <c r="K213" s="306"/>
      <c r="L213" s="306"/>
      <c r="M213" s="368"/>
      <c r="N213" s="368"/>
      <c r="O213" s="368"/>
      <c r="P213" s="368"/>
      <c r="Q213" s="823"/>
      <c r="R213" s="368"/>
      <c r="S213" s="368"/>
      <c r="T213" s="368"/>
      <c r="U213" s="368"/>
      <c r="V213" s="368"/>
      <c r="W213" s="368"/>
      <c r="X213" s="368"/>
      <c r="Y213" s="369"/>
      <c r="Z213" s="370"/>
      <c r="AA213" s="367"/>
      <c r="AB213" s="370"/>
    </row>
    <row r="214" spans="3:28">
      <c r="C214" s="367"/>
      <c r="D214" s="700"/>
      <c r="E214" s="700"/>
      <c r="F214" s="700"/>
      <c r="G214" s="700"/>
      <c r="H214" s="700"/>
      <c r="I214" s="700"/>
      <c r="J214" s="306"/>
      <c r="K214" s="306"/>
      <c r="L214" s="306"/>
      <c r="M214" s="368"/>
      <c r="N214" s="368"/>
      <c r="O214" s="368"/>
      <c r="P214" s="368"/>
      <c r="Q214" s="823"/>
      <c r="R214" s="368"/>
      <c r="S214" s="368"/>
      <c r="T214" s="368"/>
      <c r="U214" s="368"/>
      <c r="V214" s="368"/>
      <c r="W214" s="368"/>
      <c r="X214" s="368"/>
      <c r="Y214" s="369"/>
      <c r="Z214" s="370"/>
      <c r="AA214" s="367"/>
      <c r="AB214" s="370"/>
    </row>
    <row r="215" spans="3:28">
      <c r="C215" s="367"/>
      <c r="D215" s="700"/>
      <c r="E215" s="700"/>
      <c r="F215" s="700"/>
      <c r="G215" s="700"/>
      <c r="H215" s="700"/>
      <c r="I215" s="700"/>
      <c r="J215" s="306"/>
      <c r="K215" s="306"/>
      <c r="L215" s="306"/>
      <c r="M215" s="368"/>
      <c r="N215" s="368"/>
      <c r="O215" s="368"/>
      <c r="P215" s="368"/>
      <c r="Q215" s="823"/>
      <c r="R215" s="368"/>
      <c r="S215" s="368"/>
      <c r="T215" s="368"/>
      <c r="U215" s="368"/>
      <c r="V215" s="368"/>
      <c r="W215" s="368"/>
      <c r="X215" s="368"/>
      <c r="Y215" s="369"/>
      <c r="Z215" s="370"/>
      <c r="AA215" s="367"/>
      <c r="AB215" s="370"/>
    </row>
    <row r="216" spans="3:28">
      <c r="C216" s="367"/>
      <c r="D216" s="700"/>
      <c r="E216" s="700"/>
      <c r="F216" s="700"/>
      <c r="G216" s="700"/>
      <c r="H216" s="700"/>
      <c r="I216" s="700"/>
      <c r="J216" s="306"/>
      <c r="K216" s="306"/>
      <c r="L216" s="306"/>
      <c r="M216" s="368"/>
      <c r="N216" s="368"/>
      <c r="O216" s="368"/>
      <c r="P216" s="368"/>
      <c r="Q216" s="823"/>
      <c r="R216" s="368"/>
      <c r="S216" s="368"/>
      <c r="T216" s="368"/>
      <c r="U216" s="368"/>
      <c r="V216" s="368"/>
      <c r="W216" s="368"/>
      <c r="X216" s="368"/>
      <c r="Y216" s="369"/>
      <c r="Z216" s="370"/>
      <c r="AA216" s="367"/>
      <c r="AB216" s="370"/>
    </row>
    <row r="217" spans="3:28">
      <c r="C217" s="367"/>
      <c r="D217" s="700"/>
      <c r="E217" s="700"/>
      <c r="F217" s="700"/>
      <c r="G217" s="700"/>
      <c r="H217" s="700"/>
      <c r="I217" s="700"/>
      <c r="J217" s="306"/>
      <c r="K217" s="306"/>
      <c r="L217" s="306"/>
      <c r="M217" s="368"/>
      <c r="N217" s="368"/>
      <c r="O217" s="368"/>
      <c r="P217" s="368"/>
      <c r="Q217" s="823"/>
      <c r="R217" s="368"/>
      <c r="S217" s="368"/>
      <c r="T217" s="368"/>
      <c r="U217" s="368"/>
      <c r="V217" s="368"/>
      <c r="W217" s="368"/>
      <c r="X217" s="368"/>
      <c r="Y217" s="369"/>
      <c r="Z217" s="370"/>
      <c r="AA217" s="367"/>
      <c r="AB217" s="370"/>
    </row>
    <row r="218" spans="3:28">
      <c r="C218" s="367"/>
      <c r="D218" s="700"/>
      <c r="E218" s="700"/>
      <c r="F218" s="700"/>
      <c r="G218" s="700"/>
      <c r="H218" s="700"/>
      <c r="I218" s="700"/>
      <c r="J218" s="306"/>
      <c r="K218" s="306"/>
      <c r="L218" s="306"/>
      <c r="M218" s="368"/>
      <c r="N218" s="368"/>
      <c r="O218" s="368"/>
      <c r="P218" s="368"/>
      <c r="Q218" s="823"/>
      <c r="R218" s="368"/>
      <c r="S218" s="368"/>
      <c r="T218" s="368"/>
      <c r="U218" s="368"/>
      <c r="V218" s="368"/>
      <c r="W218" s="368"/>
      <c r="X218" s="368"/>
      <c r="Y218" s="369"/>
      <c r="Z218" s="370"/>
      <c r="AA218" s="367"/>
      <c r="AB218" s="370"/>
    </row>
    <row r="219" spans="3:28">
      <c r="C219" s="367"/>
      <c r="D219" s="700"/>
      <c r="E219" s="700"/>
      <c r="F219" s="700"/>
      <c r="G219" s="700"/>
      <c r="H219" s="700"/>
      <c r="I219" s="700"/>
      <c r="J219" s="306"/>
      <c r="K219" s="306"/>
      <c r="L219" s="306"/>
      <c r="M219" s="368"/>
      <c r="N219" s="368"/>
      <c r="O219" s="368"/>
      <c r="P219" s="368"/>
      <c r="Q219" s="823"/>
      <c r="R219" s="368"/>
      <c r="S219" s="368"/>
      <c r="T219" s="368"/>
      <c r="U219" s="368"/>
      <c r="V219" s="368"/>
      <c r="W219" s="368"/>
      <c r="X219" s="368"/>
      <c r="Y219" s="369"/>
      <c r="Z219" s="370"/>
      <c r="AA219" s="367"/>
      <c r="AB219" s="370"/>
    </row>
    <row r="220" spans="3:28">
      <c r="C220" s="367"/>
      <c r="D220" s="700"/>
      <c r="E220" s="700"/>
      <c r="F220" s="700"/>
      <c r="G220" s="700"/>
      <c r="H220" s="700"/>
      <c r="I220" s="700"/>
      <c r="J220" s="306"/>
      <c r="K220" s="306"/>
      <c r="L220" s="306"/>
      <c r="M220" s="368"/>
      <c r="N220" s="368"/>
      <c r="O220" s="368"/>
      <c r="P220" s="368"/>
      <c r="Q220" s="823"/>
      <c r="R220" s="368"/>
      <c r="S220" s="368"/>
      <c r="T220" s="368"/>
      <c r="U220" s="368"/>
      <c r="V220" s="368"/>
      <c r="W220" s="368"/>
      <c r="X220" s="368"/>
      <c r="Y220" s="369"/>
      <c r="Z220" s="370"/>
      <c r="AA220" s="367"/>
      <c r="AB220" s="370"/>
    </row>
    <row r="221" spans="3:28">
      <c r="C221" s="367"/>
      <c r="D221" s="700"/>
      <c r="E221" s="700"/>
      <c r="F221" s="700"/>
      <c r="G221" s="700"/>
      <c r="H221" s="700"/>
      <c r="I221" s="700"/>
      <c r="J221" s="306"/>
      <c r="K221" s="306"/>
      <c r="L221" s="306"/>
      <c r="M221" s="368"/>
      <c r="N221" s="368"/>
      <c r="O221" s="368"/>
      <c r="P221" s="368"/>
      <c r="Q221" s="823"/>
      <c r="R221" s="368"/>
      <c r="S221" s="368"/>
      <c r="T221" s="368"/>
      <c r="U221" s="368"/>
      <c r="V221" s="368"/>
      <c r="W221" s="368"/>
      <c r="X221" s="368"/>
      <c r="Y221" s="369"/>
      <c r="Z221" s="370"/>
      <c r="AA221" s="367"/>
      <c r="AB221" s="370"/>
    </row>
    <row r="222" spans="3:28">
      <c r="C222" s="367"/>
      <c r="D222" s="700"/>
      <c r="E222" s="700"/>
      <c r="F222" s="700"/>
      <c r="G222" s="700"/>
      <c r="H222" s="700"/>
      <c r="I222" s="700"/>
      <c r="J222" s="306"/>
      <c r="K222" s="306"/>
      <c r="L222" s="306"/>
      <c r="M222" s="368"/>
      <c r="N222" s="368"/>
      <c r="O222" s="368"/>
      <c r="P222" s="368"/>
      <c r="Q222" s="823"/>
      <c r="R222" s="368"/>
      <c r="S222" s="368"/>
      <c r="T222" s="368"/>
      <c r="U222" s="368"/>
      <c r="V222" s="368"/>
      <c r="W222" s="368"/>
      <c r="X222" s="368"/>
      <c r="Y222" s="369"/>
      <c r="Z222" s="370"/>
      <c r="AA222" s="367"/>
      <c r="AB222" s="370"/>
    </row>
    <row r="223" spans="3:28">
      <c r="C223" s="367"/>
      <c r="D223" s="700"/>
      <c r="E223" s="700"/>
      <c r="F223" s="700"/>
      <c r="G223" s="700"/>
      <c r="H223" s="700"/>
      <c r="I223" s="700"/>
      <c r="J223" s="306"/>
      <c r="K223" s="306"/>
      <c r="L223" s="306"/>
      <c r="M223" s="368"/>
      <c r="N223" s="368"/>
      <c r="O223" s="368"/>
      <c r="P223" s="368"/>
      <c r="Q223" s="823"/>
      <c r="R223" s="368"/>
      <c r="S223" s="368"/>
      <c r="T223" s="368"/>
      <c r="U223" s="368"/>
      <c r="V223" s="368"/>
      <c r="W223" s="368"/>
      <c r="X223" s="368"/>
      <c r="Y223" s="369"/>
      <c r="Z223" s="370"/>
      <c r="AA223" s="367"/>
      <c r="AB223" s="370"/>
    </row>
    <row r="224" spans="3:28">
      <c r="C224" s="367"/>
      <c r="D224" s="700"/>
      <c r="E224" s="700"/>
      <c r="F224" s="700"/>
      <c r="G224" s="700"/>
      <c r="H224" s="700"/>
      <c r="I224" s="700"/>
      <c r="J224" s="306"/>
      <c r="K224" s="306"/>
      <c r="L224" s="306"/>
      <c r="M224" s="368"/>
      <c r="N224" s="368"/>
      <c r="O224" s="368"/>
      <c r="P224" s="368"/>
      <c r="Q224" s="823"/>
      <c r="R224" s="368"/>
      <c r="S224" s="368"/>
      <c r="T224" s="368"/>
      <c r="U224" s="368"/>
      <c r="V224" s="368"/>
      <c r="W224" s="368"/>
      <c r="X224" s="368"/>
      <c r="Y224" s="369"/>
      <c r="Z224" s="370"/>
      <c r="AA224" s="367"/>
      <c r="AB224" s="370"/>
    </row>
    <row r="225" spans="1:31">
      <c r="C225" s="367"/>
      <c r="D225" s="700"/>
      <c r="E225" s="700"/>
      <c r="F225" s="700"/>
      <c r="G225" s="700"/>
      <c r="H225" s="700"/>
      <c r="I225" s="700"/>
      <c r="J225" s="306"/>
      <c r="K225" s="306"/>
      <c r="L225" s="306"/>
      <c r="M225" s="368"/>
      <c r="N225" s="368"/>
      <c r="O225" s="368"/>
      <c r="P225" s="368"/>
      <c r="Q225" s="823"/>
      <c r="R225" s="368"/>
      <c r="S225" s="368"/>
      <c r="T225" s="368"/>
      <c r="U225" s="368"/>
      <c r="V225" s="368"/>
      <c r="W225" s="368"/>
      <c r="X225" s="368"/>
      <c r="Y225" s="369"/>
      <c r="Z225" s="370"/>
      <c r="AA225" s="367"/>
      <c r="AB225" s="370"/>
    </row>
    <row r="226" spans="1:31">
      <c r="C226" s="367"/>
      <c r="D226" s="700"/>
      <c r="E226" s="700"/>
      <c r="F226" s="700"/>
      <c r="G226" s="700"/>
      <c r="H226" s="700"/>
      <c r="I226" s="700"/>
      <c r="J226" s="306"/>
      <c r="K226" s="306"/>
      <c r="L226" s="306"/>
      <c r="M226" s="368"/>
      <c r="N226" s="368"/>
      <c r="O226" s="368"/>
      <c r="P226" s="368"/>
      <c r="Q226" s="823"/>
      <c r="R226" s="368"/>
      <c r="S226" s="368"/>
      <c r="T226" s="368"/>
      <c r="U226" s="368"/>
      <c r="V226" s="368"/>
      <c r="W226" s="368"/>
      <c r="X226" s="368"/>
      <c r="Y226" s="369"/>
      <c r="Z226" s="370"/>
      <c r="AA226" s="367"/>
      <c r="AB226" s="370"/>
    </row>
    <row r="227" spans="1:31">
      <c r="C227" s="367"/>
      <c r="D227" s="700"/>
      <c r="E227" s="700"/>
      <c r="F227" s="700"/>
      <c r="G227" s="700"/>
      <c r="H227" s="700"/>
      <c r="I227" s="700"/>
      <c r="J227" s="306"/>
      <c r="K227" s="306"/>
      <c r="L227" s="306"/>
      <c r="M227" s="368"/>
      <c r="N227" s="368"/>
      <c r="O227" s="368"/>
      <c r="P227" s="368"/>
      <c r="Q227" s="823"/>
      <c r="R227" s="368"/>
      <c r="S227" s="368"/>
      <c r="T227" s="368"/>
      <c r="U227" s="368"/>
      <c r="V227" s="368"/>
      <c r="W227" s="368"/>
      <c r="X227" s="368"/>
      <c r="Y227" s="369"/>
      <c r="Z227" s="370"/>
      <c r="AA227" s="367"/>
      <c r="AB227" s="370"/>
    </row>
    <row r="228" spans="1:31">
      <c r="C228" s="367"/>
      <c r="D228" s="700"/>
      <c r="E228" s="700"/>
      <c r="F228" s="700"/>
      <c r="G228" s="700"/>
      <c r="H228" s="700"/>
      <c r="I228" s="700"/>
      <c r="J228" s="306"/>
      <c r="K228" s="306"/>
      <c r="L228" s="306"/>
      <c r="M228" s="368"/>
      <c r="N228" s="368"/>
      <c r="O228" s="368"/>
      <c r="P228" s="368"/>
      <c r="Q228" s="823"/>
      <c r="R228" s="368"/>
      <c r="S228" s="368"/>
      <c r="T228" s="368"/>
      <c r="U228" s="368"/>
      <c r="V228" s="368"/>
      <c r="W228" s="368"/>
      <c r="X228" s="368"/>
      <c r="Y228" s="369"/>
      <c r="Z228" s="370"/>
      <c r="AA228" s="367"/>
      <c r="AB228" s="370"/>
    </row>
    <row r="229" spans="1:31">
      <c r="C229" s="367"/>
      <c r="D229" s="700"/>
      <c r="E229" s="700"/>
      <c r="F229" s="700"/>
      <c r="G229" s="700"/>
      <c r="H229" s="700"/>
      <c r="I229" s="700"/>
      <c r="J229" s="306"/>
      <c r="K229" s="306"/>
      <c r="L229" s="306"/>
      <c r="M229" s="368"/>
      <c r="N229" s="368"/>
      <c r="O229" s="368"/>
      <c r="P229" s="368"/>
      <c r="Q229" s="823"/>
      <c r="R229" s="368"/>
      <c r="S229" s="368"/>
      <c r="T229" s="368"/>
      <c r="U229" s="368"/>
      <c r="V229" s="368"/>
      <c r="W229" s="368"/>
      <c r="X229" s="368"/>
      <c r="Y229" s="369"/>
      <c r="Z229" s="370"/>
      <c r="AA229" s="367"/>
      <c r="AB229" s="370"/>
    </row>
    <row r="230" spans="1:31">
      <c r="C230" s="367"/>
      <c r="D230" s="700"/>
      <c r="E230" s="700"/>
      <c r="F230" s="700"/>
      <c r="G230" s="700"/>
      <c r="H230" s="700"/>
      <c r="I230" s="700"/>
      <c r="J230" s="306"/>
      <c r="K230" s="306"/>
      <c r="L230" s="306"/>
      <c r="M230" s="368"/>
      <c r="N230" s="368"/>
      <c r="O230" s="368"/>
      <c r="P230" s="368"/>
      <c r="Q230" s="823"/>
      <c r="R230" s="368"/>
      <c r="S230" s="368"/>
      <c r="T230" s="368"/>
      <c r="U230" s="368"/>
      <c r="V230" s="368"/>
      <c r="W230" s="368"/>
      <c r="X230" s="368"/>
      <c r="Y230" s="369"/>
      <c r="Z230" s="370"/>
      <c r="AA230" s="367"/>
      <c r="AB230" s="370"/>
    </row>
    <row r="231" spans="1:31">
      <c r="C231" s="367"/>
      <c r="D231" s="700"/>
      <c r="E231" s="700"/>
      <c r="F231" s="700"/>
      <c r="G231" s="700"/>
      <c r="H231" s="700"/>
      <c r="I231" s="700"/>
      <c r="J231" s="306"/>
      <c r="K231" s="306"/>
      <c r="L231" s="306"/>
      <c r="M231" s="368"/>
      <c r="N231" s="368"/>
      <c r="O231" s="368"/>
      <c r="P231" s="368"/>
      <c r="Q231" s="823"/>
      <c r="R231" s="368"/>
      <c r="S231" s="368"/>
      <c r="T231" s="368"/>
      <c r="U231" s="368"/>
      <c r="V231" s="368"/>
      <c r="W231" s="368"/>
      <c r="X231" s="368"/>
      <c r="Y231" s="369"/>
      <c r="Z231" s="370"/>
      <c r="AA231" s="367"/>
      <c r="AB231" s="370"/>
    </row>
    <row r="232" spans="1:31">
      <c r="C232" s="367"/>
      <c r="D232" s="700"/>
      <c r="E232" s="700"/>
      <c r="F232" s="700"/>
      <c r="G232" s="700"/>
      <c r="H232" s="700"/>
      <c r="I232" s="700"/>
      <c r="J232" s="306"/>
      <c r="K232" s="306"/>
      <c r="L232" s="306"/>
      <c r="M232" s="368"/>
      <c r="N232" s="368"/>
      <c r="O232" s="368"/>
      <c r="P232" s="368"/>
      <c r="Q232" s="823"/>
      <c r="R232" s="368"/>
      <c r="S232" s="368"/>
      <c r="T232" s="368"/>
      <c r="U232" s="368"/>
      <c r="V232" s="368"/>
      <c r="W232" s="368"/>
      <c r="X232" s="368"/>
      <c r="Y232" s="369"/>
      <c r="Z232" s="370"/>
      <c r="AA232" s="367"/>
      <c r="AB232" s="370"/>
    </row>
    <row r="233" spans="1:31">
      <c r="C233" s="367"/>
      <c r="D233" s="700"/>
      <c r="E233" s="700"/>
      <c r="F233" s="700"/>
      <c r="G233" s="700"/>
      <c r="H233" s="700"/>
      <c r="I233" s="700"/>
      <c r="J233" s="306"/>
      <c r="K233" s="306"/>
      <c r="L233" s="306"/>
      <c r="M233" s="368"/>
      <c r="N233" s="368"/>
      <c r="O233" s="368"/>
      <c r="P233" s="368"/>
      <c r="Q233" s="823"/>
      <c r="R233" s="368"/>
      <c r="S233" s="368"/>
      <c r="T233" s="368"/>
      <c r="U233" s="368"/>
      <c r="V233" s="368"/>
      <c r="W233" s="368"/>
      <c r="X233" s="368"/>
      <c r="Y233" s="369"/>
      <c r="Z233" s="370"/>
      <c r="AA233" s="367"/>
      <c r="AB233" s="370"/>
    </row>
    <row r="234" spans="1:31">
      <c r="C234" s="367"/>
      <c r="D234" s="700"/>
      <c r="E234" s="700"/>
      <c r="F234" s="700"/>
      <c r="G234" s="700"/>
      <c r="H234" s="700"/>
      <c r="I234" s="700"/>
      <c r="J234" s="306"/>
      <c r="K234" s="306"/>
      <c r="L234" s="306"/>
      <c r="M234" s="368"/>
      <c r="N234" s="368"/>
      <c r="O234" s="368"/>
      <c r="P234" s="368"/>
      <c r="Q234" s="823"/>
      <c r="R234" s="368"/>
      <c r="S234" s="368"/>
      <c r="T234" s="368"/>
      <c r="U234" s="368"/>
      <c r="V234" s="368"/>
      <c r="W234" s="368"/>
      <c r="X234" s="368"/>
      <c r="Y234" s="369"/>
      <c r="Z234" s="370"/>
      <c r="AA234" s="367"/>
      <c r="AB234" s="370"/>
    </row>
    <row r="235" spans="1:31">
      <c r="C235" s="367"/>
      <c r="D235" s="700"/>
      <c r="E235" s="700"/>
      <c r="F235" s="700"/>
      <c r="G235" s="700"/>
      <c r="H235" s="700"/>
      <c r="I235" s="700"/>
      <c r="J235" s="306"/>
      <c r="K235" s="306"/>
      <c r="L235" s="306"/>
      <c r="M235" s="368"/>
      <c r="N235" s="368"/>
      <c r="O235" s="368"/>
      <c r="P235" s="368"/>
      <c r="Q235" s="823"/>
      <c r="R235" s="368"/>
      <c r="S235" s="368"/>
      <c r="T235" s="368"/>
      <c r="U235" s="368"/>
      <c r="V235" s="368"/>
      <c r="W235" s="368"/>
      <c r="X235" s="368"/>
      <c r="Y235" s="369"/>
      <c r="Z235" s="370"/>
      <c r="AA235" s="367"/>
      <c r="AB235" s="370"/>
    </row>
    <row r="236" spans="1:31" s="295" customFormat="1" ht="29.25">
      <c r="A236" s="1329" t="s">
        <v>572</v>
      </c>
      <c r="B236" s="1329"/>
      <c r="C236" s="1329"/>
      <c r="D236" s="1329"/>
      <c r="E236" s="1329"/>
      <c r="F236" s="1329"/>
      <c r="G236" s="1329"/>
      <c r="H236" s="1329"/>
      <c r="I236" s="1329"/>
      <c r="J236" s="1329"/>
      <c r="K236" s="1329"/>
      <c r="L236" s="1329"/>
      <c r="M236" s="1329"/>
      <c r="N236" s="1329"/>
      <c r="O236" s="1329"/>
      <c r="P236" s="1329"/>
      <c r="Q236" s="1329"/>
      <c r="R236" s="1329"/>
      <c r="S236" s="1329"/>
      <c r="T236" s="1329"/>
      <c r="U236" s="1329"/>
      <c r="V236" s="1329"/>
      <c r="W236" s="1329"/>
      <c r="X236" s="1329"/>
      <c r="Y236" s="1329"/>
      <c r="Z236" s="1329"/>
      <c r="AA236" s="1329"/>
      <c r="AB236" s="1329"/>
      <c r="AC236" s="1329"/>
      <c r="AD236" s="1329"/>
      <c r="AE236" s="1329"/>
    </row>
    <row r="237" spans="1:31" s="298" customFormat="1" ht="23.25">
      <c r="A237" s="583" t="s">
        <v>530</v>
      </c>
      <c r="B237" s="583" t="s">
        <v>531</v>
      </c>
      <c r="C237" s="583" t="s">
        <v>532</v>
      </c>
      <c r="D237" s="701"/>
      <c r="E237" s="701"/>
      <c r="F237" s="701"/>
      <c r="G237" s="701"/>
      <c r="H237" s="701"/>
      <c r="I237" s="701"/>
      <c r="J237" s="583"/>
      <c r="K237" s="583"/>
      <c r="L237" s="583"/>
      <c r="M237" s="583" t="s">
        <v>533</v>
      </c>
      <c r="N237" s="622"/>
      <c r="O237" s="622"/>
      <c r="P237" s="940"/>
      <c r="Q237" s="824"/>
      <c r="R237" s="622"/>
      <c r="S237" s="622"/>
      <c r="T237" s="1330" t="s">
        <v>574</v>
      </c>
      <c r="U237" s="1330"/>
      <c r="V237" s="1331" t="s">
        <v>534</v>
      </c>
      <c r="W237" s="1331"/>
      <c r="X237" s="1331"/>
      <c r="Y237" s="1331"/>
      <c r="Z237" s="1331"/>
      <c r="AA237" s="1331"/>
      <c r="AB237" s="1331"/>
      <c r="AC237" s="1331"/>
      <c r="AD237" s="1331"/>
      <c r="AE237" s="1332"/>
    </row>
    <row r="238" spans="1:31" s="482" customFormat="1" ht="84">
      <c r="A238" s="242" t="s">
        <v>178</v>
      </c>
      <c r="B238" s="371" t="s">
        <v>357</v>
      </c>
      <c r="C238" s="371" t="s">
        <v>573</v>
      </c>
      <c r="D238" s="702"/>
      <c r="E238" s="702"/>
      <c r="F238" s="702"/>
      <c r="G238" s="702"/>
      <c r="H238" s="702"/>
      <c r="I238" s="702" t="s">
        <v>57</v>
      </c>
      <c r="J238" s="371"/>
      <c r="K238" s="371"/>
      <c r="L238" s="194"/>
      <c r="M238" s="195">
        <v>67000</v>
      </c>
      <c r="N238" s="195"/>
      <c r="O238" s="195"/>
      <c r="P238" s="195"/>
      <c r="Q238" s="825"/>
      <c r="R238" s="195"/>
      <c r="S238" s="195"/>
      <c r="T238" s="1333" t="s">
        <v>575</v>
      </c>
      <c r="U238" s="1333"/>
      <c r="V238" s="1334" t="s">
        <v>580</v>
      </c>
      <c r="W238" s="1335"/>
      <c r="X238" s="1335"/>
      <c r="Y238" s="1335"/>
      <c r="Z238" s="1335"/>
      <c r="AA238" s="1335"/>
      <c r="AB238" s="1335"/>
      <c r="AC238" s="1335"/>
      <c r="AD238" s="1335"/>
      <c r="AE238" s="1336"/>
    </row>
    <row r="239" spans="1:31" s="304" customFormat="1" ht="105">
      <c r="A239" s="481" t="s">
        <v>127</v>
      </c>
      <c r="B239" s="483" t="s">
        <v>576</v>
      </c>
      <c r="C239" s="138" t="s">
        <v>591</v>
      </c>
      <c r="D239" s="693"/>
      <c r="E239" s="693"/>
      <c r="F239" s="693" t="s">
        <v>34</v>
      </c>
      <c r="G239" s="693"/>
      <c r="H239" s="693"/>
      <c r="I239" s="693"/>
      <c r="J239" s="138"/>
      <c r="K239" s="138"/>
      <c r="L239" s="92"/>
      <c r="M239" s="92">
        <v>0</v>
      </c>
      <c r="N239" s="636"/>
      <c r="O239" s="636"/>
      <c r="P239" s="636"/>
      <c r="Q239" s="826"/>
      <c r="R239" s="636"/>
      <c r="S239" s="636"/>
      <c r="T239" s="1326" t="s">
        <v>575</v>
      </c>
      <c r="U239" s="1327"/>
      <c r="V239" s="1337" t="s">
        <v>590</v>
      </c>
      <c r="W239" s="1338"/>
      <c r="X239" s="1338"/>
      <c r="Y239" s="1338"/>
      <c r="Z239" s="1338"/>
      <c r="AA239" s="1338"/>
      <c r="AB239" s="1338"/>
      <c r="AC239" s="1338"/>
      <c r="AD239" s="1338"/>
      <c r="AE239" s="1339"/>
    </row>
    <row r="240" spans="1:31" s="304" customFormat="1">
      <c r="A240" s="481" t="s">
        <v>131</v>
      </c>
      <c r="B240" s="483" t="s">
        <v>577</v>
      </c>
      <c r="C240" s="138" t="s">
        <v>538</v>
      </c>
      <c r="D240" s="693"/>
      <c r="E240" s="693"/>
      <c r="F240" s="693" t="s">
        <v>34</v>
      </c>
      <c r="G240" s="693"/>
      <c r="H240" s="693"/>
      <c r="I240" s="693"/>
      <c r="J240" s="138"/>
      <c r="K240" s="138"/>
      <c r="L240" s="92"/>
      <c r="M240" s="92">
        <v>300000</v>
      </c>
      <c r="N240" s="636"/>
      <c r="O240" s="636"/>
      <c r="P240" s="636"/>
      <c r="Q240" s="826"/>
      <c r="R240" s="636"/>
      <c r="S240" s="636"/>
      <c r="T240" s="1326" t="s">
        <v>575</v>
      </c>
      <c r="U240" s="1327"/>
      <c r="V240" s="480"/>
      <c r="W240" s="480"/>
      <c r="X240" s="480"/>
      <c r="Y240" s="480"/>
      <c r="Z240" s="385"/>
      <c r="AA240" s="385"/>
      <c r="AB240" s="385"/>
      <c r="AC240" s="385"/>
      <c r="AD240" s="385"/>
      <c r="AE240" s="386"/>
    </row>
    <row r="241" spans="1:31" s="492" customFormat="1" ht="42">
      <c r="A241" s="279" t="s">
        <v>180</v>
      </c>
      <c r="B241" s="491" t="s">
        <v>577</v>
      </c>
      <c r="C241" s="276" t="s">
        <v>542</v>
      </c>
      <c r="D241" s="703"/>
      <c r="E241" s="703"/>
      <c r="F241" s="703"/>
      <c r="G241" s="703"/>
      <c r="H241" s="703"/>
      <c r="I241" s="703"/>
      <c r="J241" s="276"/>
      <c r="K241" s="276"/>
      <c r="L241" s="276"/>
      <c r="M241" s="171">
        <v>980000</v>
      </c>
      <c r="N241" s="637"/>
      <c r="O241" s="637"/>
      <c r="P241" s="637"/>
      <c r="Q241" s="827"/>
      <c r="R241" s="637"/>
      <c r="S241" s="637"/>
      <c r="T241" s="1321" t="s">
        <v>575</v>
      </c>
      <c r="U241" s="1322"/>
      <c r="V241" s="1321" t="s">
        <v>588</v>
      </c>
      <c r="W241" s="1328"/>
      <c r="X241" s="1328"/>
      <c r="Y241" s="1328"/>
      <c r="Z241" s="1328"/>
      <c r="AA241" s="1328"/>
      <c r="AB241" s="1328"/>
      <c r="AC241" s="1328"/>
      <c r="AD241" s="1328"/>
      <c r="AE241" s="1322"/>
    </row>
    <row r="242" spans="1:31" s="492" customFormat="1" ht="42">
      <c r="A242" s="279" t="s">
        <v>218</v>
      </c>
      <c r="B242" s="491" t="s">
        <v>577</v>
      </c>
      <c r="C242" s="276" t="s">
        <v>545</v>
      </c>
      <c r="D242" s="703"/>
      <c r="E242" s="703"/>
      <c r="F242" s="703"/>
      <c r="G242" s="703"/>
      <c r="H242" s="703"/>
      <c r="I242" s="703"/>
      <c r="J242" s="276"/>
      <c r="K242" s="276"/>
      <c r="L242" s="276"/>
      <c r="M242" s="171">
        <v>500000</v>
      </c>
      <c r="N242" s="637"/>
      <c r="O242" s="637"/>
      <c r="P242" s="637"/>
      <c r="Q242" s="827"/>
      <c r="R242" s="637"/>
      <c r="S242" s="637"/>
      <c r="T242" s="1321" t="s">
        <v>575</v>
      </c>
      <c r="U242" s="1322"/>
      <c r="V242" s="1323" t="s">
        <v>583</v>
      </c>
      <c r="W242" s="1324"/>
      <c r="X242" s="1324"/>
      <c r="Y242" s="1324"/>
      <c r="Z242" s="1324"/>
      <c r="AA242" s="1324"/>
      <c r="AB242" s="1324"/>
      <c r="AC242" s="1324"/>
      <c r="AD242" s="1324"/>
      <c r="AE242" s="1325"/>
    </row>
    <row r="243" spans="1:31" s="304" customFormat="1" ht="105">
      <c r="A243" s="481" t="s">
        <v>228</v>
      </c>
      <c r="B243" s="483" t="s">
        <v>577</v>
      </c>
      <c r="C243" s="138" t="s">
        <v>579</v>
      </c>
      <c r="D243" s="693"/>
      <c r="E243" s="693"/>
      <c r="F243" s="693"/>
      <c r="G243" s="693"/>
      <c r="H243" s="693"/>
      <c r="I243" s="693"/>
      <c r="J243" s="138"/>
      <c r="K243" s="138"/>
      <c r="L243" s="138"/>
      <c r="M243" s="92">
        <v>200000</v>
      </c>
      <c r="N243" s="636"/>
      <c r="O243" s="636"/>
      <c r="P243" s="636"/>
      <c r="Q243" s="826"/>
      <c r="R243" s="636"/>
      <c r="S243" s="636"/>
      <c r="T243" s="1326" t="s">
        <v>575</v>
      </c>
      <c r="U243" s="1327"/>
      <c r="V243" s="480"/>
      <c r="W243" s="480"/>
      <c r="X243" s="480"/>
      <c r="Y243" s="480"/>
      <c r="Z243" s="385"/>
      <c r="AA243" s="385"/>
      <c r="AB243" s="385"/>
      <c r="AC243" s="385"/>
      <c r="AD243" s="385"/>
      <c r="AE243" s="386"/>
    </row>
    <row r="244" spans="1:31" s="304" customFormat="1" ht="84">
      <c r="A244" s="481" t="s">
        <v>241</v>
      </c>
      <c r="B244" s="483" t="s">
        <v>55</v>
      </c>
      <c r="C244" s="138" t="s">
        <v>581</v>
      </c>
      <c r="D244" s="693"/>
      <c r="E244" s="693"/>
      <c r="F244" s="693"/>
      <c r="G244" s="693"/>
      <c r="H244" s="693"/>
      <c r="I244" s="693"/>
      <c r="J244" s="138"/>
      <c r="K244" s="138"/>
      <c r="L244" s="138"/>
      <c r="M244" s="92">
        <f>140000-45600</f>
        <v>94400</v>
      </c>
      <c r="N244" s="636"/>
      <c r="O244" s="636"/>
      <c r="P244" s="636"/>
      <c r="Q244" s="826"/>
      <c r="R244" s="636"/>
      <c r="S244" s="636"/>
      <c r="T244" s="1326" t="s">
        <v>575</v>
      </c>
      <c r="U244" s="1327"/>
      <c r="V244" s="480"/>
      <c r="W244" s="480"/>
      <c r="X244" s="480"/>
      <c r="Y244" s="480"/>
      <c r="Z244" s="385"/>
      <c r="AA244" s="385"/>
      <c r="AB244" s="385"/>
      <c r="AC244" s="385"/>
      <c r="AD244" s="385"/>
      <c r="AE244" s="386"/>
    </row>
    <row r="245" spans="1:31" ht="24" thickBot="1">
      <c r="C245" s="484" t="s">
        <v>578</v>
      </c>
      <c r="D245" s="704"/>
      <c r="E245" s="704"/>
      <c r="F245" s="704"/>
      <c r="G245" s="704"/>
      <c r="H245" s="704"/>
      <c r="I245" s="704"/>
      <c r="J245" s="484"/>
      <c r="K245" s="484"/>
      <c r="L245" s="484"/>
      <c r="M245" s="485">
        <f>SUM(M238:M244)</f>
        <v>2141400</v>
      </c>
      <c r="N245" s="638"/>
      <c r="O245" s="638"/>
      <c r="P245" s="638"/>
      <c r="Q245" s="828"/>
      <c r="R245" s="638"/>
      <c r="S245" s="638"/>
      <c r="T245" s="368"/>
      <c r="U245" s="368"/>
      <c r="V245" s="368"/>
      <c r="W245" s="368"/>
      <c r="X245" s="368"/>
      <c r="Y245" s="369"/>
      <c r="Z245" s="370"/>
      <c r="AA245" s="367"/>
      <c r="AB245" s="370"/>
    </row>
    <row r="246" spans="1:31" ht="21.75" thickTop="1">
      <c r="C246" s="367"/>
      <c r="D246" s="700"/>
      <c r="E246" s="700"/>
      <c r="F246" s="700"/>
      <c r="G246" s="700"/>
      <c r="H246" s="700"/>
      <c r="I246" s="700"/>
      <c r="J246" s="306"/>
      <c r="K246" s="306"/>
      <c r="L246" s="306"/>
      <c r="M246" s="368"/>
      <c r="N246" s="368"/>
      <c r="O246" s="368"/>
      <c r="P246" s="368"/>
      <c r="Q246" s="823"/>
      <c r="R246" s="368"/>
      <c r="S246" s="368"/>
      <c r="T246" s="368"/>
      <c r="U246" s="368"/>
      <c r="V246" s="368"/>
      <c r="W246" s="368"/>
      <c r="X246" s="368"/>
      <c r="Y246" s="369"/>
      <c r="Z246" s="370"/>
      <c r="AA246" s="367"/>
      <c r="AB246" s="370"/>
    </row>
    <row r="247" spans="1:31">
      <c r="C247" s="367"/>
      <c r="D247" s="700"/>
      <c r="E247" s="700"/>
      <c r="F247" s="700"/>
      <c r="G247" s="700"/>
      <c r="H247" s="700"/>
      <c r="I247" s="700"/>
      <c r="J247" s="306"/>
      <c r="K247" s="306"/>
      <c r="L247" s="306"/>
      <c r="M247" s="368"/>
      <c r="N247" s="368"/>
      <c r="O247" s="368"/>
      <c r="P247" s="368"/>
      <c r="Q247" s="823"/>
      <c r="R247" s="368"/>
      <c r="S247" s="368"/>
      <c r="T247" s="368"/>
      <c r="U247" s="368"/>
      <c r="V247" s="368"/>
      <c r="W247" s="368"/>
      <c r="X247" s="368"/>
      <c r="Y247" s="369"/>
      <c r="Z247" s="370"/>
      <c r="AA247" s="367"/>
      <c r="AB247" s="370"/>
    </row>
    <row r="248" spans="1:31">
      <c r="C248" s="367"/>
      <c r="D248" s="700"/>
      <c r="E248" s="700"/>
      <c r="F248" s="700"/>
      <c r="G248" s="700"/>
      <c r="H248" s="700"/>
      <c r="I248" s="700"/>
      <c r="J248" s="306"/>
      <c r="K248" s="306"/>
      <c r="L248" s="306"/>
      <c r="M248" s="368"/>
      <c r="N248" s="368"/>
      <c r="O248" s="368"/>
      <c r="P248" s="368"/>
      <c r="Q248" s="823"/>
      <c r="R248" s="368"/>
      <c r="S248" s="368"/>
      <c r="T248" s="368"/>
      <c r="U248" s="368"/>
      <c r="V248" s="368"/>
      <c r="W248" s="368"/>
      <c r="X248" s="368"/>
      <c r="Y248" s="369"/>
      <c r="Z248" s="370"/>
      <c r="AA248" s="367"/>
      <c r="AB248" s="370"/>
    </row>
    <row r="249" spans="1:31" ht="42">
      <c r="C249" s="493" t="s">
        <v>582</v>
      </c>
      <c r="D249" s="700"/>
      <c r="E249" s="700"/>
      <c r="F249" s="700"/>
      <c r="G249" s="700"/>
      <c r="H249" s="700"/>
      <c r="I249" s="700"/>
      <c r="J249" s="306"/>
      <c r="K249" s="306"/>
      <c r="L249" s="306"/>
      <c r="M249" s="490">
        <v>1998950</v>
      </c>
      <c r="N249" s="490"/>
      <c r="O249" s="490"/>
      <c r="P249" s="490"/>
      <c r="Q249" s="829"/>
      <c r="R249" s="490"/>
      <c r="S249" s="490"/>
      <c r="T249" s="368" t="s">
        <v>34</v>
      </c>
      <c r="U249" s="368"/>
      <c r="V249" s="368"/>
      <c r="W249" s="368"/>
      <c r="X249" s="368"/>
      <c r="Y249" s="369"/>
      <c r="Z249" s="370"/>
      <c r="AA249" s="367"/>
      <c r="AB249" s="370"/>
    </row>
    <row r="250" spans="1:31" ht="23.25">
      <c r="A250" s="496" t="s">
        <v>586</v>
      </c>
      <c r="C250" s="493"/>
      <c r="D250" s="700"/>
      <c r="E250" s="700"/>
      <c r="F250" s="700"/>
      <c r="G250" s="700"/>
      <c r="H250" s="700"/>
      <c r="I250" s="700"/>
      <c r="J250" s="306"/>
      <c r="K250" s="306"/>
      <c r="L250" s="306"/>
      <c r="M250" s="490"/>
      <c r="N250" s="490"/>
      <c r="O250" s="490"/>
      <c r="P250" s="490"/>
      <c r="Q250" s="829"/>
      <c r="R250" s="490"/>
      <c r="S250" s="490"/>
      <c r="T250" s="368"/>
      <c r="U250" s="368"/>
      <c r="V250" s="368"/>
      <c r="W250" s="368"/>
      <c r="X250" s="368"/>
      <c r="Y250" s="369"/>
      <c r="Z250" s="370"/>
      <c r="AA250" s="367"/>
      <c r="AB250" s="370"/>
    </row>
    <row r="251" spans="1:31" ht="63">
      <c r="C251" s="493" t="s">
        <v>587</v>
      </c>
      <c r="D251" s="700"/>
      <c r="E251" s="700"/>
      <c r="F251" s="700"/>
      <c r="G251" s="700"/>
      <c r="H251" s="700"/>
      <c r="I251" s="700"/>
      <c r="J251" s="306"/>
      <c r="K251" s="306"/>
      <c r="L251" s="306"/>
      <c r="M251" s="368">
        <f>M238+M239+M240+M243+M244</f>
        <v>661400</v>
      </c>
      <c r="N251" s="368"/>
      <c r="O251" s="368"/>
      <c r="P251" s="368"/>
      <c r="Q251" s="823"/>
      <c r="R251" s="368"/>
      <c r="S251" s="368"/>
      <c r="T251" s="368"/>
      <c r="U251" s="368"/>
      <c r="V251" s="368"/>
      <c r="W251" s="368"/>
      <c r="X251" s="368"/>
      <c r="Y251" s="369"/>
      <c r="Z251" s="370"/>
      <c r="AA251" s="367"/>
      <c r="AB251" s="370"/>
    </row>
    <row r="252" spans="1:31" ht="42">
      <c r="C252" s="493" t="s">
        <v>585</v>
      </c>
      <c r="D252" s="700"/>
      <c r="E252" s="700"/>
      <c r="F252" s="700"/>
      <c r="G252" s="700"/>
      <c r="H252" s="700"/>
      <c r="I252" s="700"/>
      <c r="J252" s="306"/>
      <c r="K252" s="306"/>
      <c r="L252" s="306"/>
      <c r="M252" s="494">
        <f>M249-M251</f>
        <v>1337550</v>
      </c>
      <c r="N252" s="494"/>
      <c r="O252" s="494"/>
      <c r="P252" s="494"/>
      <c r="Q252" s="830"/>
      <c r="R252" s="494"/>
      <c r="S252" s="494"/>
      <c r="T252" s="368"/>
      <c r="U252" s="368"/>
      <c r="V252" s="368"/>
      <c r="W252" s="368"/>
      <c r="X252" s="368"/>
      <c r="Y252" s="369"/>
      <c r="Z252" s="370"/>
      <c r="AA252" s="367"/>
      <c r="AB252" s="370"/>
    </row>
    <row r="253" spans="1:31" ht="23.25">
      <c r="C253" s="493" t="s">
        <v>584</v>
      </c>
      <c r="D253" s="700"/>
      <c r="E253" s="700"/>
      <c r="F253" s="700"/>
      <c r="G253" s="700"/>
      <c r="H253" s="700"/>
      <c r="I253" s="700"/>
      <c r="J253" s="306"/>
      <c r="K253" s="306"/>
      <c r="L253" s="306"/>
      <c r="M253" s="494">
        <f>M241+M242</f>
        <v>1480000</v>
      </c>
      <c r="N253" s="494"/>
      <c r="O253" s="494"/>
      <c r="P253" s="494"/>
      <c r="Q253" s="830"/>
      <c r="R253" s="494"/>
      <c r="S253" s="494"/>
      <c r="T253" s="368"/>
      <c r="U253" s="368"/>
      <c r="V253" s="368"/>
      <c r="W253" s="368"/>
      <c r="X253" s="368"/>
      <c r="Y253" s="369"/>
      <c r="Z253" s="370"/>
      <c r="AA253" s="367"/>
      <c r="AB253" s="370"/>
    </row>
    <row r="254" spans="1:31">
      <c r="C254" s="495" t="s">
        <v>589</v>
      </c>
      <c r="D254" s="700"/>
      <c r="E254" s="700"/>
      <c r="F254" s="700"/>
      <c r="G254" s="700"/>
      <c r="H254" s="700"/>
      <c r="I254" s="700"/>
      <c r="J254" s="306"/>
      <c r="K254" s="306"/>
      <c r="L254" s="306"/>
      <c r="M254" s="368"/>
      <c r="N254" s="368"/>
      <c r="O254" s="368"/>
      <c r="P254" s="368"/>
      <c r="Q254" s="823"/>
      <c r="R254" s="368"/>
      <c r="S254" s="368"/>
      <c r="T254" s="368"/>
      <c r="U254" s="368"/>
      <c r="V254" s="368"/>
      <c r="W254" s="368"/>
      <c r="X254" s="368"/>
      <c r="Y254" s="369"/>
      <c r="Z254" s="370"/>
      <c r="AA254" s="367"/>
      <c r="AB254" s="370"/>
    </row>
    <row r="255" spans="1:31">
      <c r="C255" s="367"/>
      <c r="D255" s="700"/>
      <c r="E255" s="700"/>
      <c r="F255" s="700"/>
      <c r="G255" s="700"/>
      <c r="H255" s="700"/>
      <c r="I255" s="700"/>
      <c r="J255" s="306"/>
      <c r="K255" s="306"/>
      <c r="L255" s="306"/>
      <c r="M255" s="368"/>
      <c r="N255" s="368"/>
      <c r="O255" s="368"/>
      <c r="P255" s="368"/>
      <c r="Q255" s="823"/>
      <c r="R255" s="368"/>
      <c r="S255" s="368"/>
      <c r="T255" s="368"/>
      <c r="U255" s="368"/>
      <c r="V255" s="368"/>
      <c r="W255" s="368"/>
      <c r="X255" s="368"/>
      <c r="Y255" s="369"/>
      <c r="Z255" s="370"/>
      <c r="AA255" s="367"/>
      <c r="AB255" s="370"/>
    </row>
    <row r="256" spans="1:31">
      <c r="C256" s="367"/>
      <c r="D256" s="700"/>
      <c r="E256" s="700"/>
      <c r="F256" s="700"/>
      <c r="G256" s="700"/>
      <c r="H256" s="700"/>
      <c r="I256" s="700"/>
      <c r="J256" s="306"/>
      <c r="K256" s="306"/>
      <c r="L256" s="306"/>
      <c r="M256" s="368"/>
      <c r="N256" s="368"/>
      <c r="O256" s="368"/>
      <c r="P256" s="368"/>
      <c r="Q256" s="823"/>
      <c r="R256" s="368"/>
      <c r="S256" s="368"/>
      <c r="T256" s="368"/>
      <c r="U256" s="368"/>
      <c r="V256" s="368"/>
      <c r="W256" s="368"/>
      <c r="X256" s="368"/>
      <c r="Y256" s="369"/>
      <c r="Z256" s="370"/>
      <c r="AA256" s="367"/>
      <c r="AB256" s="370"/>
    </row>
    <row r="257" spans="3:28">
      <c r="C257" s="367"/>
      <c r="D257" s="700"/>
      <c r="E257" s="700"/>
      <c r="F257" s="700"/>
      <c r="G257" s="700"/>
      <c r="H257" s="700"/>
      <c r="I257" s="700"/>
      <c r="J257" s="306"/>
      <c r="K257" s="306"/>
      <c r="L257" s="306"/>
      <c r="M257" s="368"/>
      <c r="N257" s="368"/>
      <c r="O257" s="368"/>
      <c r="P257" s="368"/>
      <c r="Q257" s="823"/>
      <c r="R257" s="368"/>
      <c r="S257" s="368"/>
      <c r="T257" s="368"/>
      <c r="U257" s="368"/>
      <c r="V257" s="368"/>
      <c r="W257" s="368"/>
      <c r="X257" s="368"/>
      <c r="Y257" s="369"/>
      <c r="Z257" s="370"/>
      <c r="AA257" s="367"/>
      <c r="AB257" s="370"/>
    </row>
    <row r="258" spans="3:28">
      <c r="C258" s="367"/>
      <c r="D258" s="700"/>
      <c r="E258" s="700"/>
      <c r="F258" s="700"/>
      <c r="G258" s="700"/>
      <c r="H258" s="700"/>
      <c r="I258" s="700"/>
      <c r="J258" s="306"/>
      <c r="K258" s="306"/>
      <c r="L258" s="306"/>
      <c r="M258" s="368"/>
      <c r="N258" s="368"/>
      <c r="O258" s="368"/>
      <c r="P258" s="368"/>
      <c r="Q258" s="823"/>
      <c r="R258" s="368"/>
      <c r="S258" s="368"/>
      <c r="T258" s="368"/>
      <c r="U258" s="368"/>
      <c r="V258" s="368"/>
      <c r="W258" s="368"/>
      <c r="X258" s="368"/>
      <c r="Y258" s="369"/>
      <c r="Z258" s="370"/>
      <c r="AA258" s="367"/>
      <c r="AB258" s="370"/>
    </row>
    <row r="259" spans="3:28">
      <c r="C259" s="367"/>
      <c r="D259" s="700"/>
      <c r="E259" s="700"/>
      <c r="F259" s="700"/>
      <c r="G259" s="700"/>
      <c r="H259" s="700"/>
      <c r="I259" s="700"/>
      <c r="J259" s="306"/>
      <c r="K259" s="306"/>
      <c r="L259" s="306"/>
      <c r="M259" s="368"/>
      <c r="N259" s="368"/>
      <c r="O259" s="368"/>
      <c r="P259" s="368"/>
      <c r="Q259" s="823"/>
      <c r="R259" s="368"/>
      <c r="S259" s="368"/>
      <c r="T259" s="368"/>
      <c r="U259" s="368"/>
      <c r="V259" s="368"/>
      <c r="W259" s="368"/>
      <c r="X259" s="368"/>
      <c r="Y259" s="369"/>
      <c r="Z259" s="370"/>
      <c r="AA259" s="367"/>
      <c r="AB259" s="370"/>
    </row>
    <row r="260" spans="3:28">
      <c r="C260" s="367"/>
      <c r="D260" s="700"/>
      <c r="E260" s="700"/>
      <c r="F260" s="700"/>
      <c r="G260" s="700"/>
      <c r="H260" s="700"/>
      <c r="I260" s="700"/>
      <c r="J260" s="306"/>
      <c r="K260" s="306"/>
      <c r="L260" s="306"/>
      <c r="M260" s="368"/>
      <c r="N260" s="368"/>
      <c r="O260" s="368"/>
      <c r="P260" s="368"/>
      <c r="Q260" s="823"/>
      <c r="R260" s="368"/>
      <c r="S260" s="368"/>
      <c r="T260" s="368"/>
      <c r="U260" s="368"/>
      <c r="V260" s="368"/>
      <c r="W260" s="368"/>
      <c r="X260" s="368"/>
      <c r="Y260" s="369"/>
      <c r="Z260" s="370"/>
      <c r="AA260" s="367"/>
      <c r="AB260" s="370"/>
    </row>
    <row r="261" spans="3:28">
      <c r="C261" s="367"/>
      <c r="D261" s="700"/>
      <c r="E261" s="700"/>
      <c r="F261" s="700"/>
      <c r="G261" s="700"/>
      <c r="H261" s="700"/>
      <c r="I261" s="700"/>
      <c r="J261" s="306"/>
      <c r="K261" s="306"/>
      <c r="L261" s="306"/>
      <c r="M261" s="368"/>
      <c r="N261" s="368"/>
      <c r="O261" s="368"/>
      <c r="P261" s="368"/>
      <c r="Q261" s="823"/>
      <c r="R261" s="368"/>
      <c r="S261" s="368"/>
      <c r="T261" s="368"/>
      <c r="U261" s="368"/>
      <c r="V261" s="368"/>
      <c r="W261" s="368"/>
      <c r="X261" s="368"/>
      <c r="Y261" s="369"/>
      <c r="Z261" s="370"/>
      <c r="AA261" s="367"/>
      <c r="AB261" s="370"/>
    </row>
    <row r="262" spans="3:28">
      <c r="C262" s="367"/>
      <c r="D262" s="700"/>
      <c r="E262" s="700"/>
      <c r="F262" s="700"/>
      <c r="G262" s="700"/>
      <c r="H262" s="700"/>
      <c r="I262" s="700"/>
      <c r="J262" s="306"/>
      <c r="K262" s="306"/>
      <c r="L262" s="306"/>
      <c r="M262" s="368"/>
      <c r="N262" s="368"/>
      <c r="O262" s="368"/>
      <c r="P262" s="368"/>
      <c r="Q262" s="823"/>
      <c r="R262" s="368"/>
      <c r="S262" s="368"/>
      <c r="T262" s="368"/>
      <c r="U262" s="368"/>
      <c r="V262" s="368"/>
      <c r="W262" s="368"/>
      <c r="X262" s="368"/>
      <c r="Y262" s="369"/>
      <c r="Z262" s="370"/>
      <c r="AA262" s="367"/>
      <c r="AB262" s="370"/>
    </row>
    <row r="263" spans="3:28">
      <c r="C263" s="367"/>
      <c r="D263" s="700"/>
      <c r="E263" s="700"/>
      <c r="F263" s="700"/>
      <c r="G263" s="700"/>
      <c r="H263" s="700"/>
      <c r="I263" s="700"/>
      <c r="J263" s="306"/>
      <c r="K263" s="306"/>
      <c r="L263" s="306"/>
      <c r="M263" s="368"/>
      <c r="N263" s="368"/>
      <c r="O263" s="368"/>
      <c r="P263" s="368"/>
      <c r="Q263" s="823"/>
      <c r="R263" s="368"/>
      <c r="S263" s="368"/>
      <c r="T263" s="368"/>
      <c r="U263" s="368"/>
      <c r="V263" s="368"/>
      <c r="W263" s="368"/>
      <c r="X263" s="368"/>
      <c r="Y263" s="369"/>
      <c r="Z263" s="370"/>
      <c r="AA263" s="367"/>
      <c r="AB263" s="370"/>
    </row>
    <row r="264" spans="3:28">
      <c r="C264" s="367"/>
      <c r="D264" s="700"/>
      <c r="E264" s="700"/>
      <c r="F264" s="700"/>
      <c r="G264" s="700"/>
      <c r="H264" s="700"/>
      <c r="I264" s="700"/>
      <c r="J264" s="306"/>
      <c r="K264" s="306"/>
      <c r="L264" s="306"/>
      <c r="M264" s="368"/>
      <c r="N264" s="368"/>
      <c r="O264" s="368"/>
      <c r="P264" s="368"/>
      <c r="Q264" s="823"/>
      <c r="R264" s="368"/>
      <c r="S264" s="368"/>
      <c r="T264" s="368"/>
      <c r="U264" s="368"/>
      <c r="V264" s="368"/>
      <c r="W264" s="368"/>
      <c r="X264" s="368"/>
      <c r="Y264" s="369"/>
      <c r="Z264" s="370"/>
      <c r="AA264" s="367"/>
      <c r="AB264" s="370"/>
    </row>
    <row r="265" spans="3:28">
      <c r="C265" s="367"/>
      <c r="D265" s="700"/>
      <c r="E265" s="700"/>
      <c r="F265" s="700"/>
      <c r="G265" s="700"/>
      <c r="H265" s="700"/>
      <c r="I265" s="700"/>
      <c r="J265" s="306"/>
      <c r="K265" s="306"/>
      <c r="L265" s="306"/>
      <c r="M265" s="368"/>
      <c r="N265" s="368"/>
      <c r="O265" s="368"/>
      <c r="P265" s="368"/>
      <c r="Q265" s="823"/>
      <c r="R265" s="368"/>
      <c r="S265" s="368"/>
      <c r="T265" s="368"/>
      <c r="U265" s="368"/>
      <c r="V265" s="368"/>
      <c r="W265" s="368"/>
      <c r="X265" s="368"/>
      <c r="Y265" s="369"/>
      <c r="Z265" s="370"/>
      <c r="AA265" s="367"/>
      <c r="AB265" s="370"/>
    </row>
    <row r="266" spans="3:28">
      <c r="C266" s="367"/>
      <c r="D266" s="700"/>
      <c r="E266" s="700"/>
      <c r="F266" s="700"/>
      <c r="G266" s="700"/>
      <c r="H266" s="700"/>
      <c r="I266" s="700"/>
      <c r="J266" s="306"/>
      <c r="K266" s="306"/>
      <c r="L266" s="306"/>
      <c r="M266" s="368"/>
      <c r="N266" s="368"/>
      <c r="O266" s="368"/>
      <c r="P266" s="368"/>
      <c r="Q266" s="823"/>
      <c r="R266" s="368"/>
      <c r="S266" s="368"/>
      <c r="T266" s="368"/>
      <c r="U266" s="368"/>
      <c r="V266" s="368"/>
      <c r="W266" s="368"/>
      <c r="X266" s="368"/>
      <c r="Y266" s="369"/>
      <c r="Z266" s="370"/>
      <c r="AA266" s="367"/>
      <c r="AB266" s="370"/>
    </row>
    <row r="267" spans="3:28">
      <c r="C267" s="367"/>
      <c r="D267" s="700"/>
      <c r="E267" s="700"/>
      <c r="F267" s="700"/>
      <c r="G267" s="700"/>
      <c r="H267" s="700"/>
      <c r="I267" s="700"/>
      <c r="J267" s="306"/>
      <c r="K267" s="306"/>
      <c r="L267" s="306"/>
      <c r="M267" s="368"/>
      <c r="N267" s="368"/>
      <c r="O267" s="368"/>
      <c r="P267" s="368"/>
      <c r="Q267" s="823"/>
      <c r="R267" s="368"/>
      <c r="S267" s="368"/>
      <c r="T267" s="368"/>
      <c r="U267" s="368"/>
      <c r="V267" s="368"/>
      <c r="W267" s="368"/>
      <c r="X267" s="368"/>
      <c r="Y267" s="369"/>
      <c r="Z267" s="370"/>
      <c r="AA267" s="367"/>
      <c r="AB267" s="370"/>
    </row>
    <row r="268" spans="3:28">
      <c r="C268" s="367"/>
      <c r="D268" s="700"/>
      <c r="E268" s="700"/>
      <c r="F268" s="700"/>
      <c r="G268" s="700"/>
      <c r="H268" s="700"/>
      <c r="I268" s="700"/>
      <c r="J268" s="306"/>
      <c r="K268" s="306"/>
      <c r="L268" s="306"/>
      <c r="M268" s="368"/>
      <c r="N268" s="368"/>
      <c r="O268" s="368"/>
      <c r="P268" s="368"/>
      <c r="Q268" s="823"/>
      <c r="R268" s="368"/>
      <c r="S268" s="368"/>
      <c r="T268" s="368"/>
      <c r="U268" s="368"/>
      <c r="V268" s="368"/>
      <c r="W268" s="368"/>
      <c r="X268" s="368"/>
      <c r="Y268" s="369"/>
      <c r="Z268" s="370"/>
      <c r="AA268" s="367"/>
      <c r="AB268" s="370"/>
    </row>
    <row r="269" spans="3:28">
      <c r="C269" s="367"/>
      <c r="D269" s="700"/>
      <c r="E269" s="700"/>
      <c r="F269" s="700"/>
      <c r="G269" s="700"/>
      <c r="H269" s="700"/>
      <c r="I269" s="700"/>
      <c r="J269" s="306"/>
      <c r="K269" s="306"/>
      <c r="L269" s="306"/>
      <c r="M269" s="368"/>
      <c r="N269" s="368"/>
      <c r="O269" s="368"/>
      <c r="P269" s="368"/>
      <c r="Q269" s="823"/>
      <c r="R269" s="368"/>
      <c r="S269" s="368"/>
      <c r="T269" s="368"/>
      <c r="U269" s="368"/>
      <c r="V269" s="368"/>
      <c r="W269" s="368"/>
      <c r="X269" s="368"/>
      <c r="Y269" s="369"/>
      <c r="Z269" s="370"/>
      <c r="AA269" s="367"/>
      <c r="AB269" s="370"/>
    </row>
    <row r="270" spans="3:28">
      <c r="C270" s="367"/>
      <c r="D270" s="700"/>
      <c r="E270" s="700"/>
      <c r="F270" s="700"/>
      <c r="G270" s="700"/>
      <c r="H270" s="700"/>
      <c r="I270" s="700"/>
      <c r="J270" s="306"/>
      <c r="K270" s="306"/>
      <c r="L270" s="306"/>
      <c r="M270" s="368"/>
      <c r="N270" s="368"/>
      <c r="O270" s="368"/>
      <c r="P270" s="368"/>
      <c r="Q270" s="823"/>
      <c r="R270" s="368"/>
      <c r="S270" s="368"/>
      <c r="T270" s="368"/>
      <c r="U270" s="368"/>
      <c r="V270" s="368"/>
      <c r="W270" s="368"/>
      <c r="X270" s="368"/>
      <c r="Y270" s="369"/>
      <c r="Z270" s="370"/>
      <c r="AA270" s="367"/>
      <c r="AB270" s="370"/>
    </row>
    <row r="271" spans="3:28">
      <c r="C271" s="367"/>
      <c r="D271" s="700"/>
      <c r="E271" s="700"/>
      <c r="F271" s="700"/>
      <c r="G271" s="700"/>
      <c r="H271" s="700"/>
      <c r="I271" s="700"/>
      <c r="J271" s="306"/>
      <c r="K271" s="306"/>
      <c r="L271" s="306"/>
      <c r="M271" s="368"/>
      <c r="N271" s="368"/>
      <c r="O271" s="368"/>
      <c r="P271" s="368"/>
      <c r="Q271" s="823"/>
      <c r="R271" s="368"/>
      <c r="S271" s="368"/>
      <c r="T271" s="368"/>
      <c r="U271" s="368"/>
      <c r="V271" s="368"/>
      <c r="W271" s="368"/>
      <c r="X271" s="368"/>
      <c r="Y271" s="369"/>
      <c r="Z271" s="370"/>
      <c r="AA271" s="367"/>
      <c r="AB271" s="370"/>
    </row>
    <row r="272" spans="3:28">
      <c r="C272" s="367"/>
      <c r="D272" s="700"/>
      <c r="E272" s="700"/>
      <c r="F272" s="700"/>
      <c r="G272" s="700"/>
      <c r="H272" s="700"/>
      <c r="I272" s="700"/>
      <c r="J272" s="306"/>
      <c r="K272" s="306"/>
      <c r="L272" s="306"/>
      <c r="M272" s="368"/>
      <c r="N272" s="368"/>
      <c r="O272" s="368"/>
      <c r="P272" s="368"/>
      <c r="Q272" s="823"/>
      <c r="R272" s="368"/>
      <c r="S272" s="368"/>
      <c r="T272" s="368"/>
      <c r="U272" s="368"/>
      <c r="V272" s="368"/>
      <c r="W272" s="368"/>
      <c r="X272" s="368"/>
      <c r="Y272" s="369"/>
      <c r="Z272" s="370"/>
      <c r="AA272" s="367"/>
      <c r="AB272" s="370"/>
    </row>
    <row r="273" spans="1:31">
      <c r="C273" s="367"/>
      <c r="D273" s="700"/>
      <c r="E273" s="700"/>
      <c r="F273" s="700"/>
      <c r="G273" s="700"/>
      <c r="H273" s="700"/>
      <c r="I273" s="700"/>
      <c r="J273" s="306"/>
      <c r="K273" s="306"/>
      <c r="L273" s="306"/>
      <c r="M273" s="368"/>
      <c r="N273" s="368"/>
      <c r="O273" s="368"/>
      <c r="P273" s="368"/>
      <c r="Q273" s="823"/>
      <c r="R273" s="368"/>
      <c r="S273" s="368"/>
      <c r="T273" s="368"/>
      <c r="U273" s="368"/>
      <c r="V273" s="368"/>
      <c r="W273" s="368"/>
      <c r="X273" s="368"/>
      <c r="Y273" s="369"/>
      <c r="Z273" s="370"/>
      <c r="AA273" s="367"/>
      <c r="AB273" s="370"/>
    </row>
    <row r="274" spans="1:31" s="295" customFormat="1" ht="29.25">
      <c r="A274" s="1329" t="s">
        <v>529</v>
      </c>
      <c r="B274" s="1329"/>
      <c r="C274" s="1329"/>
      <c r="D274" s="1329"/>
      <c r="E274" s="1329"/>
      <c r="F274" s="1329"/>
      <c r="G274" s="1329"/>
      <c r="H274" s="1329"/>
      <c r="I274" s="1329"/>
      <c r="J274" s="1329"/>
      <c r="K274" s="1329"/>
      <c r="L274" s="1329"/>
      <c r="M274" s="1329"/>
      <c r="N274" s="1329"/>
      <c r="O274" s="1329"/>
      <c r="P274" s="1329"/>
      <c r="Q274" s="1329"/>
      <c r="R274" s="1329"/>
      <c r="S274" s="1329"/>
      <c r="T274" s="1329"/>
      <c r="U274" s="1329"/>
      <c r="V274" s="1329"/>
      <c r="W274" s="1329"/>
      <c r="X274" s="1329"/>
      <c r="Y274" s="1329"/>
      <c r="Z274" s="1329"/>
      <c r="AA274" s="1329"/>
      <c r="AB274" s="1329"/>
      <c r="AC274" s="1329"/>
      <c r="AD274" s="1329"/>
      <c r="AE274" s="1329"/>
    </row>
    <row r="275" spans="1:31" s="298" customFormat="1" ht="23.25">
      <c r="A275" s="583" t="s">
        <v>530</v>
      </c>
      <c r="B275" s="583" t="s">
        <v>531</v>
      </c>
      <c r="C275" s="583" t="s">
        <v>532</v>
      </c>
      <c r="D275" s="701"/>
      <c r="E275" s="701"/>
      <c r="F275" s="701"/>
      <c r="G275" s="701"/>
      <c r="H275" s="701"/>
      <c r="I275" s="701"/>
      <c r="J275" s="583"/>
      <c r="K275" s="583"/>
      <c r="L275" s="583"/>
      <c r="M275" s="583" t="s">
        <v>533</v>
      </c>
      <c r="N275" s="639"/>
      <c r="O275" s="639"/>
      <c r="P275" s="639"/>
      <c r="Q275" s="831"/>
      <c r="R275" s="639"/>
      <c r="S275" s="639"/>
      <c r="T275" s="376" t="s">
        <v>534</v>
      </c>
      <c r="U275" s="377"/>
      <c r="V275" s="377"/>
      <c r="W275" s="377"/>
      <c r="X275" s="377"/>
      <c r="Y275" s="377"/>
      <c r="Z275" s="378"/>
      <c r="AA275" s="378"/>
      <c r="AB275" s="378"/>
      <c r="AC275" s="378"/>
      <c r="AD275" s="378"/>
      <c r="AE275" s="379"/>
    </row>
    <row r="276" spans="1:31" s="301" customFormat="1" ht="84">
      <c r="A276" s="578" t="s">
        <v>178</v>
      </c>
      <c r="B276" s="197" t="s">
        <v>455</v>
      </c>
      <c r="C276" s="197" t="s">
        <v>535</v>
      </c>
      <c r="D276" s="702"/>
      <c r="E276" s="702"/>
      <c r="F276" s="702"/>
      <c r="G276" s="702"/>
      <c r="H276" s="702"/>
      <c r="I276" s="702" t="s">
        <v>57</v>
      </c>
      <c r="J276" s="371"/>
      <c r="K276" s="371"/>
      <c r="L276" s="194"/>
      <c r="M276" s="195">
        <f>SUM(M277:M278)</f>
        <v>300000</v>
      </c>
      <c r="N276" s="640"/>
      <c r="O276" s="640"/>
      <c r="P276" s="640"/>
      <c r="Q276" s="832"/>
      <c r="R276" s="640"/>
      <c r="S276" s="640"/>
      <c r="T276" s="324" t="s">
        <v>536</v>
      </c>
      <c r="U276" s="325"/>
      <c r="V276" s="325"/>
      <c r="W276" s="326"/>
      <c r="X276" s="325"/>
      <c r="Y276" s="325"/>
      <c r="Z276" s="325"/>
      <c r="AA276" s="325"/>
      <c r="AB276" s="380"/>
      <c r="AC276" s="380"/>
      <c r="AD276" s="380"/>
      <c r="AE276" s="381"/>
    </row>
    <row r="277" spans="1:31" s="301" customFormat="1">
      <c r="A277" s="579"/>
      <c r="B277" s="191"/>
      <c r="C277" s="373" t="s">
        <v>537</v>
      </c>
      <c r="D277" s="705"/>
      <c r="E277" s="705"/>
      <c r="F277" s="705"/>
      <c r="G277" s="705"/>
      <c r="H277" s="705"/>
      <c r="I277" s="705"/>
      <c r="J277" s="374"/>
      <c r="K277" s="374"/>
      <c r="L277" s="205"/>
      <c r="M277" s="206">
        <v>150000</v>
      </c>
      <c r="N277" s="641"/>
      <c r="O277" s="641"/>
      <c r="P277" s="641"/>
      <c r="Q277" s="833"/>
      <c r="R277" s="641"/>
      <c r="S277" s="641"/>
      <c r="T277" s="328"/>
      <c r="U277" s="299"/>
      <c r="V277" s="299"/>
      <c r="X277" s="299"/>
      <c r="Y277" s="299"/>
      <c r="Z277" s="299"/>
      <c r="AA277" s="299"/>
      <c r="AB277" s="300"/>
      <c r="AC277" s="300"/>
      <c r="AD277" s="300"/>
      <c r="AE277" s="382"/>
    </row>
    <row r="278" spans="1:31" s="301" customFormat="1">
      <c r="A278" s="580"/>
      <c r="B278" s="189"/>
      <c r="C278" s="375" t="s">
        <v>283</v>
      </c>
      <c r="D278" s="694"/>
      <c r="E278" s="694"/>
      <c r="F278" s="694"/>
      <c r="G278" s="694"/>
      <c r="H278" s="694"/>
      <c r="I278" s="694"/>
      <c r="J278" s="69"/>
      <c r="K278" s="69"/>
      <c r="L278" s="72"/>
      <c r="M278" s="91">
        <v>150000</v>
      </c>
      <c r="N278" s="642"/>
      <c r="O278" s="642"/>
      <c r="P278" s="642"/>
      <c r="Q278" s="834"/>
      <c r="R278" s="642"/>
      <c r="S278" s="642"/>
      <c r="T278" s="330"/>
      <c r="U278" s="331"/>
      <c r="V278" s="331"/>
      <c r="W278" s="332"/>
      <c r="X278" s="331"/>
      <c r="Y278" s="331"/>
      <c r="Z278" s="331"/>
      <c r="AA278" s="331"/>
      <c r="AB278" s="383"/>
      <c r="AC278" s="383"/>
      <c r="AD278" s="383"/>
      <c r="AE278" s="384"/>
    </row>
    <row r="279" spans="1:31" s="304" customFormat="1" ht="63">
      <c r="A279" s="181" t="s">
        <v>127</v>
      </c>
      <c r="B279" s="52" t="s">
        <v>41</v>
      </c>
      <c r="C279" s="52" t="s">
        <v>538</v>
      </c>
      <c r="D279" s="693"/>
      <c r="E279" s="693"/>
      <c r="F279" s="693" t="s">
        <v>34</v>
      </c>
      <c r="G279" s="693"/>
      <c r="H279" s="693"/>
      <c r="I279" s="693"/>
      <c r="J279" s="138"/>
      <c r="K279" s="138"/>
      <c r="L279" s="92"/>
      <c r="M279" s="92">
        <v>286200</v>
      </c>
      <c r="N279" s="636"/>
      <c r="O279" s="636"/>
      <c r="P279" s="636"/>
      <c r="Q279" s="826"/>
      <c r="R279" s="636"/>
      <c r="S279" s="636"/>
      <c r="T279" s="1342" t="s">
        <v>539</v>
      </c>
      <c r="U279" s="1343"/>
      <c r="V279" s="1343"/>
      <c r="W279" s="1343"/>
      <c r="X279" s="1343"/>
      <c r="Y279" s="1343"/>
      <c r="Z279" s="385"/>
      <c r="AA279" s="385"/>
      <c r="AB279" s="385"/>
      <c r="AC279" s="385"/>
      <c r="AD279" s="385"/>
      <c r="AE279" s="386"/>
    </row>
    <row r="280" spans="1:31" s="301" customFormat="1" ht="84">
      <c r="A280" s="181" t="s">
        <v>131</v>
      </c>
      <c r="B280" s="199" t="s">
        <v>140</v>
      </c>
      <c r="C280" s="199" t="s">
        <v>540</v>
      </c>
      <c r="D280" s="693"/>
      <c r="E280" s="693"/>
      <c r="F280" s="693"/>
      <c r="G280" s="693"/>
      <c r="H280" s="693"/>
      <c r="I280" s="693" t="s">
        <v>57</v>
      </c>
      <c r="J280" s="250"/>
      <c r="K280" s="250"/>
      <c r="L280" s="100"/>
      <c r="M280" s="92">
        <v>60000</v>
      </c>
      <c r="N280" s="636"/>
      <c r="O280" s="636"/>
      <c r="P280" s="636"/>
      <c r="Q280" s="826"/>
      <c r="R280" s="636"/>
      <c r="S280" s="636"/>
      <c r="T280" s="1340" t="s">
        <v>541</v>
      </c>
      <c r="U280" s="1341"/>
      <c r="V280" s="1341"/>
      <c r="W280" s="1341"/>
      <c r="X280" s="1341"/>
      <c r="Y280" s="1341"/>
      <c r="Z280" s="385"/>
      <c r="AA280" s="385"/>
      <c r="AB280" s="385"/>
      <c r="AC280" s="385"/>
      <c r="AD280" s="385"/>
      <c r="AE280" s="386"/>
    </row>
    <row r="281" spans="1:31" s="301" customFormat="1" ht="63">
      <c r="A281" s="54">
        <v>4</v>
      </c>
      <c r="B281" s="52" t="s">
        <v>41</v>
      </c>
      <c r="C281" s="52" t="s">
        <v>542</v>
      </c>
      <c r="D281" s="693"/>
      <c r="E281" s="693"/>
      <c r="F281" s="693"/>
      <c r="G281" s="693"/>
      <c r="H281" s="693"/>
      <c r="I281" s="693"/>
      <c r="J281" s="138"/>
      <c r="K281" s="138"/>
      <c r="L281" s="138"/>
      <c r="M281" s="92">
        <v>980000</v>
      </c>
      <c r="N281" s="636"/>
      <c r="O281" s="636"/>
      <c r="P281" s="636"/>
      <c r="Q281" s="826"/>
      <c r="R281" s="636"/>
      <c r="S281" s="636"/>
      <c r="T281" s="1342" t="s">
        <v>543</v>
      </c>
      <c r="U281" s="1343"/>
      <c r="V281" s="1343"/>
      <c r="W281" s="1343"/>
      <c r="X281" s="1343"/>
      <c r="Y281" s="1343"/>
      <c r="Z281" s="139"/>
      <c r="AA281" s="139"/>
      <c r="AB281" s="139"/>
      <c r="AC281" s="139"/>
      <c r="AD281" s="139"/>
      <c r="AE281" s="387"/>
    </row>
    <row r="282" spans="1:31" s="301" customFormat="1" ht="63">
      <c r="A282" s="54">
        <v>5</v>
      </c>
      <c r="B282" s="52" t="s">
        <v>41</v>
      </c>
      <c r="C282" s="52" t="s">
        <v>544</v>
      </c>
      <c r="D282" s="693"/>
      <c r="E282" s="693"/>
      <c r="F282" s="693"/>
      <c r="G282" s="693"/>
      <c r="H282" s="693"/>
      <c r="I282" s="693"/>
      <c r="J282" s="138"/>
      <c r="K282" s="138"/>
      <c r="L282" s="138"/>
      <c r="M282" s="92">
        <v>100000</v>
      </c>
      <c r="N282" s="636"/>
      <c r="O282" s="636"/>
      <c r="P282" s="636"/>
      <c r="Q282" s="826"/>
      <c r="R282" s="636"/>
      <c r="S282" s="636"/>
      <c r="T282" s="1342" t="s">
        <v>543</v>
      </c>
      <c r="U282" s="1343"/>
      <c r="V282" s="1343"/>
      <c r="W282" s="1343"/>
      <c r="X282" s="1343"/>
      <c r="Y282" s="1343"/>
      <c r="Z282" s="139"/>
      <c r="AA282" s="139"/>
      <c r="AB282" s="139"/>
      <c r="AC282" s="139"/>
      <c r="AD282" s="139"/>
      <c r="AE282" s="387"/>
    </row>
    <row r="283" spans="1:31" s="301" customFormat="1" ht="63">
      <c r="A283" s="54">
        <v>6</v>
      </c>
      <c r="B283" s="52" t="s">
        <v>41</v>
      </c>
      <c r="C283" s="52" t="s">
        <v>545</v>
      </c>
      <c r="D283" s="693"/>
      <c r="E283" s="693"/>
      <c r="F283" s="693"/>
      <c r="G283" s="693"/>
      <c r="H283" s="693"/>
      <c r="I283" s="693"/>
      <c r="J283" s="138"/>
      <c r="K283" s="138"/>
      <c r="L283" s="138"/>
      <c r="M283" s="92">
        <v>100000</v>
      </c>
      <c r="N283" s="636"/>
      <c r="O283" s="636"/>
      <c r="P283" s="636"/>
      <c r="Q283" s="826"/>
      <c r="R283" s="636"/>
      <c r="S283" s="636"/>
      <c r="T283" s="1342" t="s">
        <v>543</v>
      </c>
      <c r="U283" s="1343"/>
      <c r="V283" s="1343"/>
      <c r="W283" s="1343"/>
      <c r="X283" s="1343"/>
      <c r="Y283" s="1343"/>
      <c r="Z283" s="139"/>
      <c r="AA283" s="139"/>
      <c r="AB283" s="139"/>
      <c r="AC283" s="139"/>
      <c r="AD283" s="139"/>
      <c r="AE283" s="387"/>
    </row>
    <row r="284" spans="1:31" s="295" customFormat="1">
      <c r="A284" s="305"/>
      <c r="B284" s="306"/>
      <c r="C284" s="306"/>
      <c r="D284" s="700"/>
      <c r="E284" s="700"/>
      <c r="F284" s="700"/>
      <c r="G284" s="700"/>
      <c r="H284" s="700"/>
      <c r="I284" s="700"/>
      <c r="J284" s="306"/>
      <c r="K284" s="306"/>
      <c r="L284" s="306"/>
      <c r="M284" s="306"/>
      <c r="N284" s="306"/>
      <c r="O284" s="306"/>
      <c r="P284" s="306"/>
      <c r="Q284" s="835"/>
      <c r="R284" s="306"/>
      <c r="S284" s="306"/>
      <c r="T284" s="306"/>
      <c r="U284" s="306"/>
      <c r="V284" s="306"/>
      <c r="W284" s="306"/>
      <c r="X284" s="306"/>
      <c r="Y284" s="306"/>
      <c r="Z284" s="306"/>
      <c r="AA284" s="306"/>
      <c r="AB284" s="306"/>
      <c r="AC284" s="306"/>
      <c r="AD284" s="306"/>
      <c r="AE284" s="306"/>
    </row>
    <row r="285" spans="1:31" s="307" customFormat="1">
      <c r="A285" s="280"/>
      <c r="B285" s="3"/>
      <c r="C285" s="3"/>
      <c r="D285" s="646"/>
      <c r="E285" s="646"/>
      <c r="F285" s="646"/>
      <c r="G285" s="646"/>
      <c r="H285" s="646"/>
      <c r="I285" s="646"/>
      <c r="J285" s="3"/>
      <c r="K285" s="3"/>
      <c r="L285" s="3"/>
      <c r="M285" s="3"/>
      <c r="N285" s="3"/>
      <c r="O285" s="3"/>
      <c r="P285" s="3"/>
      <c r="Q285" s="775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</sheetData>
  <mergeCells count="91">
    <mergeCell ref="AC1:AE1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N3:N5"/>
    <mergeCell ref="R3:R5"/>
    <mergeCell ref="S3:S5"/>
    <mergeCell ref="K3:K5"/>
    <mergeCell ref="O3:O5"/>
    <mergeCell ref="P3:P5"/>
    <mergeCell ref="Q3:Q5"/>
    <mergeCell ref="A10:A18"/>
    <mergeCell ref="B10:B18"/>
    <mergeCell ref="C10:C18"/>
    <mergeCell ref="D10:D18"/>
    <mergeCell ref="E10:E18"/>
    <mergeCell ref="L3:L5"/>
    <mergeCell ref="M3:M5"/>
    <mergeCell ref="K10:K18"/>
    <mergeCell ref="F10:F18"/>
    <mergeCell ref="G10:G18"/>
    <mergeCell ref="H10:H18"/>
    <mergeCell ref="I10:I18"/>
    <mergeCell ref="J10:J18"/>
    <mergeCell ref="V3:AE3"/>
    <mergeCell ref="V4:Y4"/>
    <mergeCell ref="Z4:Z5"/>
    <mergeCell ref="AA4:AC4"/>
    <mergeCell ref="AE4:AE5"/>
    <mergeCell ref="J80:J89"/>
    <mergeCell ref="K80:K89"/>
    <mergeCell ref="E71:E76"/>
    <mergeCell ref="F71:F76"/>
    <mergeCell ref="E77:E79"/>
    <mergeCell ref="G71:G79"/>
    <mergeCell ref="H71:H79"/>
    <mergeCell ref="I71:I79"/>
    <mergeCell ref="J71:J79"/>
    <mergeCell ref="K71:K79"/>
    <mergeCell ref="T280:Y280"/>
    <mergeCell ref="T281:Y281"/>
    <mergeCell ref="T282:Y282"/>
    <mergeCell ref="T283:Y283"/>
    <mergeCell ref="T244:U244"/>
    <mergeCell ref="A274:AE274"/>
    <mergeCell ref="T279:Y279"/>
    <mergeCell ref="T242:U242"/>
    <mergeCell ref="V242:AE242"/>
    <mergeCell ref="T243:U243"/>
    <mergeCell ref="H53:H56"/>
    <mergeCell ref="I53:I56"/>
    <mergeCell ref="J53:J56"/>
    <mergeCell ref="T241:U241"/>
    <mergeCell ref="V241:AE241"/>
    <mergeCell ref="A236:AE236"/>
    <mergeCell ref="T237:U237"/>
    <mergeCell ref="V237:AE237"/>
    <mergeCell ref="T238:U238"/>
    <mergeCell ref="V238:AE238"/>
    <mergeCell ref="T239:U239"/>
    <mergeCell ref="V239:AE239"/>
    <mergeCell ref="T240:U240"/>
    <mergeCell ref="A71:A79"/>
    <mergeCell ref="B71:B79"/>
    <mergeCell ref="C71:C79"/>
    <mergeCell ref="D71:D79"/>
    <mergeCell ref="K53:K56"/>
    <mergeCell ref="B53:B56"/>
    <mergeCell ref="A53:A56"/>
    <mergeCell ref="J35:J41"/>
    <mergeCell ref="K35:K41"/>
    <mergeCell ref="F77:F79"/>
    <mergeCell ref="I35:I41"/>
    <mergeCell ref="C53:C56"/>
    <mergeCell ref="D35:D41"/>
    <mergeCell ref="E35:E41"/>
    <mergeCell ref="F35:F41"/>
    <mergeCell ref="G35:G41"/>
    <mergeCell ref="H35:H41"/>
    <mergeCell ref="C92:C96"/>
    <mergeCell ref="G91:G92"/>
    <mergeCell ref="D53:D56"/>
    <mergeCell ref="E53:E56"/>
    <mergeCell ref="F53:F56"/>
    <mergeCell ref="G53:G56"/>
  </mergeCells>
  <printOptions horizontalCentered="1"/>
  <pageMargins left="0.11811023622047245" right="3.937007874015748E-2" top="0.35433070866141736" bottom="0.15748031496062992" header="0.11811023622047245" footer="0.11811023622047245"/>
  <pageSetup paperSize="9" scale="63" orientation="landscape" r:id="rId1"/>
  <headerFooter>
    <oddHeader>&amp;L 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topLeftCell="A5" zoomScale="115" zoomScaleNormal="115" workbookViewId="0">
      <pane ySplit="3" topLeftCell="A8" activePane="bottomLeft" state="frozen"/>
      <selection activeCell="A5" sqref="A5"/>
      <selection pane="bottomLeft" activeCell="B18" sqref="B18"/>
    </sheetView>
  </sheetViews>
  <sheetFormatPr defaultRowHeight="23.25"/>
  <cols>
    <col min="1" max="1" width="6.375" style="881" customWidth="1"/>
    <col min="2" max="2" width="51.875" style="842" customWidth="1"/>
    <col min="3" max="3" width="11" style="881" customWidth="1"/>
    <col min="4" max="4" width="17.125" style="842" customWidth="1"/>
    <col min="5" max="7" width="14.625" style="842" customWidth="1"/>
    <col min="8" max="9" width="12.25" style="842" customWidth="1"/>
    <col min="10" max="11" width="12.125" style="842" customWidth="1"/>
    <col min="12" max="12" width="0.375" style="842" customWidth="1"/>
    <col min="13" max="13" width="21.75" style="842" customWidth="1"/>
    <col min="14" max="258" width="9.125" style="842"/>
    <col min="259" max="259" width="6.375" style="842" customWidth="1"/>
    <col min="260" max="260" width="51.875" style="842" customWidth="1"/>
    <col min="261" max="261" width="11" style="842" customWidth="1"/>
    <col min="262" max="262" width="17.125" style="842" customWidth="1"/>
    <col min="263" max="263" width="14.625" style="842" customWidth="1"/>
    <col min="264" max="265" width="12.25" style="842" customWidth="1"/>
    <col min="266" max="267" width="12.125" style="842" customWidth="1"/>
    <col min="268" max="268" width="0.375" style="842" customWidth="1"/>
    <col min="269" max="269" width="21.75" style="842" customWidth="1"/>
    <col min="270" max="514" width="9.125" style="842"/>
    <col min="515" max="515" width="6.375" style="842" customWidth="1"/>
    <col min="516" max="516" width="51.875" style="842" customWidth="1"/>
    <col min="517" max="517" width="11" style="842" customWidth="1"/>
    <col min="518" max="518" width="17.125" style="842" customWidth="1"/>
    <col min="519" max="519" width="14.625" style="842" customWidth="1"/>
    <col min="520" max="521" width="12.25" style="842" customWidth="1"/>
    <col min="522" max="523" width="12.125" style="842" customWidth="1"/>
    <col min="524" max="524" width="0.375" style="842" customWidth="1"/>
    <col min="525" max="525" width="21.75" style="842" customWidth="1"/>
    <col min="526" max="770" width="9.125" style="842"/>
    <col min="771" max="771" width="6.375" style="842" customWidth="1"/>
    <col min="772" max="772" width="51.875" style="842" customWidth="1"/>
    <col min="773" max="773" width="11" style="842" customWidth="1"/>
    <col min="774" max="774" width="17.125" style="842" customWidth="1"/>
    <col min="775" max="775" width="14.625" style="842" customWidth="1"/>
    <col min="776" max="777" width="12.25" style="842" customWidth="1"/>
    <col min="778" max="779" width="12.125" style="842" customWidth="1"/>
    <col min="780" max="780" width="0.375" style="842" customWidth="1"/>
    <col min="781" max="781" width="21.75" style="842" customWidth="1"/>
    <col min="782" max="1026" width="9.125" style="842"/>
    <col min="1027" max="1027" width="6.375" style="842" customWidth="1"/>
    <col min="1028" max="1028" width="51.875" style="842" customWidth="1"/>
    <col min="1029" max="1029" width="11" style="842" customWidth="1"/>
    <col min="1030" max="1030" width="17.125" style="842" customWidth="1"/>
    <col min="1031" max="1031" width="14.625" style="842" customWidth="1"/>
    <col min="1032" max="1033" width="12.25" style="842" customWidth="1"/>
    <col min="1034" max="1035" width="12.125" style="842" customWidth="1"/>
    <col min="1036" max="1036" width="0.375" style="842" customWidth="1"/>
    <col min="1037" max="1037" width="21.75" style="842" customWidth="1"/>
    <col min="1038" max="1282" width="9.125" style="842"/>
    <col min="1283" max="1283" width="6.375" style="842" customWidth="1"/>
    <col min="1284" max="1284" width="51.875" style="842" customWidth="1"/>
    <col min="1285" max="1285" width="11" style="842" customWidth="1"/>
    <col min="1286" max="1286" width="17.125" style="842" customWidth="1"/>
    <col min="1287" max="1287" width="14.625" style="842" customWidth="1"/>
    <col min="1288" max="1289" width="12.25" style="842" customWidth="1"/>
    <col min="1290" max="1291" width="12.125" style="842" customWidth="1"/>
    <col min="1292" max="1292" width="0.375" style="842" customWidth="1"/>
    <col min="1293" max="1293" width="21.75" style="842" customWidth="1"/>
    <col min="1294" max="1538" width="9.125" style="842"/>
    <col min="1539" max="1539" width="6.375" style="842" customWidth="1"/>
    <col min="1540" max="1540" width="51.875" style="842" customWidth="1"/>
    <col min="1541" max="1541" width="11" style="842" customWidth="1"/>
    <col min="1542" max="1542" width="17.125" style="842" customWidth="1"/>
    <col min="1543" max="1543" width="14.625" style="842" customWidth="1"/>
    <col min="1544" max="1545" width="12.25" style="842" customWidth="1"/>
    <col min="1546" max="1547" width="12.125" style="842" customWidth="1"/>
    <col min="1548" max="1548" width="0.375" style="842" customWidth="1"/>
    <col min="1549" max="1549" width="21.75" style="842" customWidth="1"/>
    <col min="1550" max="1794" width="9.125" style="842"/>
    <col min="1795" max="1795" width="6.375" style="842" customWidth="1"/>
    <col min="1796" max="1796" width="51.875" style="842" customWidth="1"/>
    <col min="1797" max="1797" width="11" style="842" customWidth="1"/>
    <col min="1798" max="1798" width="17.125" style="842" customWidth="1"/>
    <col min="1799" max="1799" width="14.625" style="842" customWidth="1"/>
    <col min="1800" max="1801" width="12.25" style="842" customWidth="1"/>
    <col min="1802" max="1803" width="12.125" style="842" customWidth="1"/>
    <col min="1804" max="1804" width="0.375" style="842" customWidth="1"/>
    <col min="1805" max="1805" width="21.75" style="842" customWidth="1"/>
    <col min="1806" max="2050" width="9.125" style="842"/>
    <col min="2051" max="2051" width="6.375" style="842" customWidth="1"/>
    <col min="2052" max="2052" width="51.875" style="842" customWidth="1"/>
    <col min="2053" max="2053" width="11" style="842" customWidth="1"/>
    <col min="2054" max="2054" width="17.125" style="842" customWidth="1"/>
    <col min="2055" max="2055" width="14.625" style="842" customWidth="1"/>
    <col min="2056" max="2057" width="12.25" style="842" customWidth="1"/>
    <col min="2058" max="2059" width="12.125" style="842" customWidth="1"/>
    <col min="2060" max="2060" width="0.375" style="842" customWidth="1"/>
    <col min="2061" max="2061" width="21.75" style="842" customWidth="1"/>
    <col min="2062" max="2306" width="9.125" style="842"/>
    <col min="2307" max="2307" width="6.375" style="842" customWidth="1"/>
    <col min="2308" max="2308" width="51.875" style="842" customWidth="1"/>
    <col min="2309" max="2309" width="11" style="842" customWidth="1"/>
    <col min="2310" max="2310" width="17.125" style="842" customWidth="1"/>
    <col min="2311" max="2311" width="14.625" style="842" customWidth="1"/>
    <col min="2312" max="2313" width="12.25" style="842" customWidth="1"/>
    <col min="2314" max="2315" width="12.125" style="842" customWidth="1"/>
    <col min="2316" max="2316" width="0.375" style="842" customWidth="1"/>
    <col min="2317" max="2317" width="21.75" style="842" customWidth="1"/>
    <col min="2318" max="2562" width="9.125" style="842"/>
    <col min="2563" max="2563" width="6.375" style="842" customWidth="1"/>
    <col min="2564" max="2564" width="51.875" style="842" customWidth="1"/>
    <col min="2565" max="2565" width="11" style="842" customWidth="1"/>
    <col min="2566" max="2566" width="17.125" style="842" customWidth="1"/>
    <col min="2567" max="2567" width="14.625" style="842" customWidth="1"/>
    <col min="2568" max="2569" width="12.25" style="842" customWidth="1"/>
    <col min="2570" max="2571" width="12.125" style="842" customWidth="1"/>
    <col min="2572" max="2572" width="0.375" style="842" customWidth="1"/>
    <col min="2573" max="2573" width="21.75" style="842" customWidth="1"/>
    <col min="2574" max="2818" width="9.125" style="842"/>
    <col min="2819" max="2819" width="6.375" style="842" customWidth="1"/>
    <col min="2820" max="2820" width="51.875" style="842" customWidth="1"/>
    <col min="2821" max="2821" width="11" style="842" customWidth="1"/>
    <col min="2822" max="2822" width="17.125" style="842" customWidth="1"/>
    <col min="2823" max="2823" width="14.625" style="842" customWidth="1"/>
    <col min="2824" max="2825" width="12.25" style="842" customWidth="1"/>
    <col min="2826" max="2827" width="12.125" style="842" customWidth="1"/>
    <col min="2828" max="2828" width="0.375" style="842" customWidth="1"/>
    <col min="2829" max="2829" width="21.75" style="842" customWidth="1"/>
    <col min="2830" max="3074" width="9.125" style="842"/>
    <col min="3075" max="3075" width="6.375" style="842" customWidth="1"/>
    <col min="3076" max="3076" width="51.875" style="842" customWidth="1"/>
    <col min="3077" max="3077" width="11" style="842" customWidth="1"/>
    <col min="3078" max="3078" width="17.125" style="842" customWidth="1"/>
    <col min="3079" max="3079" width="14.625" style="842" customWidth="1"/>
    <col min="3080" max="3081" width="12.25" style="842" customWidth="1"/>
    <col min="3082" max="3083" width="12.125" style="842" customWidth="1"/>
    <col min="3084" max="3084" width="0.375" style="842" customWidth="1"/>
    <col min="3085" max="3085" width="21.75" style="842" customWidth="1"/>
    <col min="3086" max="3330" width="9.125" style="842"/>
    <col min="3331" max="3331" width="6.375" style="842" customWidth="1"/>
    <col min="3332" max="3332" width="51.875" style="842" customWidth="1"/>
    <col min="3333" max="3333" width="11" style="842" customWidth="1"/>
    <col min="3334" max="3334" width="17.125" style="842" customWidth="1"/>
    <col min="3335" max="3335" width="14.625" style="842" customWidth="1"/>
    <col min="3336" max="3337" width="12.25" style="842" customWidth="1"/>
    <col min="3338" max="3339" width="12.125" style="842" customWidth="1"/>
    <col min="3340" max="3340" width="0.375" style="842" customWidth="1"/>
    <col min="3341" max="3341" width="21.75" style="842" customWidth="1"/>
    <col min="3342" max="3586" width="9.125" style="842"/>
    <col min="3587" max="3587" width="6.375" style="842" customWidth="1"/>
    <col min="3588" max="3588" width="51.875" style="842" customWidth="1"/>
    <col min="3589" max="3589" width="11" style="842" customWidth="1"/>
    <col min="3590" max="3590" width="17.125" style="842" customWidth="1"/>
    <col min="3591" max="3591" width="14.625" style="842" customWidth="1"/>
    <col min="3592" max="3593" width="12.25" style="842" customWidth="1"/>
    <col min="3594" max="3595" width="12.125" style="842" customWidth="1"/>
    <col min="3596" max="3596" width="0.375" style="842" customWidth="1"/>
    <col min="3597" max="3597" width="21.75" style="842" customWidth="1"/>
    <col min="3598" max="3842" width="9.125" style="842"/>
    <col min="3843" max="3843" width="6.375" style="842" customWidth="1"/>
    <col min="3844" max="3844" width="51.875" style="842" customWidth="1"/>
    <col min="3845" max="3845" width="11" style="842" customWidth="1"/>
    <col min="3846" max="3846" width="17.125" style="842" customWidth="1"/>
    <col min="3847" max="3847" width="14.625" style="842" customWidth="1"/>
    <col min="3848" max="3849" width="12.25" style="842" customWidth="1"/>
    <col min="3850" max="3851" width="12.125" style="842" customWidth="1"/>
    <col min="3852" max="3852" width="0.375" style="842" customWidth="1"/>
    <col min="3853" max="3853" width="21.75" style="842" customWidth="1"/>
    <col min="3854" max="4098" width="9.125" style="842"/>
    <col min="4099" max="4099" width="6.375" style="842" customWidth="1"/>
    <col min="4100" max="4100" width="51.875" style="842" customWidth="1"/>
    <col min="4101" max="4101" width="11" style="842" customWidth="1"/>
    <col min="4102" max="4102" width="17.125" style="842" customWidth="1"/>
    <col min="4103" max="4103" width="14.625" style="842" customWidth="1"/>
    <col min="4104" max="4105" width="12.25" style="842" customWidth="1"/>
    <col min="4106" max="4107" width="12.125" style="842" customWidth="1"/>
    <col min="4108" max="4108" width="0.375" style="842" customWidth="1"/>
    <col min="4109" max="4109" width="21.75" style="842" customWidth="1"/>
    <col min="4110" max="4354" width="9.125" style="842"/>
    <col min="4355" max="4355" width="6.375" style="842" customWidth="1"/>
    <col min="4356" max="4356" width="51.875" style="842" customWidth="1"/>
    <col min="4357" max="4357" width="11" style="842" customWidth="1"/>
    <col min="4358" max="4358" width="17.125" style="842" customWidth="1"/>
    <col min="4359" max="4359" width="14.625" style="842" customWidth="1"/>
    <col min="4360" max="4361" width="12.25" style="842" customWidth="1"/>
    <col min="4362" max="4363" width="12.125" style="842" customWidth="1"/>
    <col min="4364" max="4364" width="0.375" style="842" customWidth="1"/>
    <col min="4365" max="4365" width="21.75" style="842" customWidth="1"/>
    <col min="4366" max="4610" width="9.125" style="842"/>
    <col min="4611" max="4611" width="6.375" style="842" customWidth="1"/>
    <col min="4612" max="4612" width="51.875" style="842" customWidth="1"/>
    <col min="4613" max="4613" width="11" style="842" customWidth="1"/>
    <col min="4614" max="4614" width="17.125" style="842" customWidth="1"/>
    <col min="4615" max="4615" width="14.625" style="842" customWidth="1"/>
    <col min="4616" max="4617" width="12.25" style="842" customWidth="1"/>
    <col min="4618" max="4619" width="12.125" style="842" customWidth="1"/>
    <col min="4620" max="4620" width="0.375" style="842" customWidth="1"/>
    <col min="4621" max="4621" width="21.75" style="842" customWidth="1"/>
    <col min="4622" max="4866" width="9.125" style="842"/>
    <col min="4867" max="4867" width="6.375" style="842" customWidth="1"/>
    <col min="4868" max="4868" width="51.875" style="842" customWidth="1"/>
    <col min="4869" max="4869" width="11" style="842" customWidth="1"/>
    <col min="4870" max="4870" width="17.125" style="842" customWidth="1"/>
    <col min="4871" max="4871" width="14.625" style="842" customWidth="1"/>
    <col min="4872" max="4873" width="12.25" style="842" customWidth="1"/>
    <col min="4874" max="4875" width="12.125" style="842" customWidth="1"/>
    <col min="4876" max="4876" width="0.375" style="842" customWidth="1"/>
    <col min="4877" max="4877" width="21.75" style="842" customWidth="1"/>
    <col min="4878" max="5122" width="9.125" style="842"/>
    <col min="5123" max="5123" width="6.375" style="842" customWidth="1"/>
    <col min="5124" max="5124" width="51.875" style="842" customWidth="1"/>
    <col min="5125" max="5125" width="11" style="842" customWidth="1"/>
    <col min="5126" max="5126" width="17.125" style="842" customWidth="1"/>
    <col min="5127" max="5127" width="14.625" style="842" customWidth="1"/>
    <col min="5128" max="5129" width="12.25" style="842" customWidth="1"/>
    <col min="5130" max="5131" width="12.125" style="842" customWidth="1"/>
    <col min="5132" max="5132" width="0.375" style="842" customWidth="1"/>
    <col min="5133" max="5133" width="21.75" style="842" customWidth="1"/>
    <col min="5134" max="5378" width="9.125" style="842"/>
    <col min="5379" max="5379" width="6.375" style="842" customWidth="1"/>
    <col min="5380" max="5380" width="51.875" style="842" customWidth="1"/>
    <col min="5381" max="5381" width="11" style="842" customWidth="1"/>
    <col min="5382" max="5382" width="17.125" style="842" customWidth="1"/>
    <col min="5383" max="5383" width="14.625" style="842" customWidth="1"/>
    <col min="5384" max="5385" width="12.25" style="842" customWidth="1"/>
    <col min="5386" max="5387" width="12.125" style="842" customWidth="1"/>
    <col min="5388" max="5388" width="0.375" style="842" customWidth="1"/>
    <col min="5389" max="5389" width="21.75" style="842" customWidth="1"/>
    <col min="5390" max="5634" width="9.125" style="842"/>
    <col min="5635" max="5635" width="6.375" style="842" customWidth="1"/>
    <col min="5636" max="5636" width="51.875" style="842" customWidth="1"/>
    <col min="5637" max="5637" width="11" style="842" customWidth="1"/>
    <col min="5638" max="5638" width="17.125" style="842" customWidth="1"/>
    <col min="5639" max="5639" width="14.625" style="842" customWidth="1"/>
    <col min="5640" max="5641" width="12.25" style="842" customWidth="1"/>
    <col min="5642" max="5643" width="12.125" style="842" customWidth="1"/>
    <col min="5644" max="5644" width="0.375" style="842" customWidth="1"/>
    <col min="5645" max="5645" width="21.75" style="842" customWidth="1"/>
    <col min="5646" max="5890" width="9.125" style="842"/>
    <col min="5891" max="5891" width="6.375" style="842" customWidth="1"/>
    <col min="5892" max="5892" width="51.875" style="842" customWidth="1"/>
    <col min="5893" max="5893" width="11" style="842" customWidth="1"/>
    <col min="5894" max="5894" width="17.125" style="842" customWidth="1"/>
    <col min="5895" max="5895" width="14.625" style="842" customWidth="1"/>
    <col min="5896" max="5897" width="12.25" style="842" customWidth="1"/>
    <col min="5898" max="5899" width="12.125" style="842" customWidth="1"/>
    <col min="5900" max="5900" width="0.375" style="842" customWidth="1"/>
    <col min="5901" max="5901" width="21.75" style="842" customWidth="1"/>
    <col min="5902" max="6146" width="9.125" style="842"/>
    <col min="6147" max="6147" width="6.375" style="842" customWidth="1"/>
    <col min="6148" max="6148" width="51.875" style="842" customWidth="1"/>
    <col min="6149" max="6149" width="11" style="842" customWidth="1"/>
    <col min="6150" max="6150" width="17.125" style="842" customWidth="1"/>
    <col min="6151" max="6151" width="14.625" style="842" customWidth="1"/>
    <col min="6152" max="6153" width="12.25" style="842" customWidth="1"/>
    <col min="6154" max="6155" width="12.125" style="842" customWidth="1"/>
    <col min="6156" max="6156" width="0.375" style="842" customWidth="1"/>
    <col min="6157" max="6157" width="21.75" style="842" customWidth="1"/>
    <col min="6158" max="6402" width="9.125" style="842"/>
    <col min="6403" max="6403" width="6.375" style="842" customWidth="1"/>
    <col min="6404" max="6404" width="51.875" style="842" customWidth="1"/>
    <col min="6405" max="6405" width="11" style="842" customWidth="1"/>
    <col min="6406" max="6406" width="17.125" style="842" customWidth="1"/>
    <col min="6407" max="6407" width="14.625" style="842" customWidth="1"/>
    <col min="6408" max="6409" width="12.25" style="842" customWidth="1"/>
    <col min="6410" max="6411" width="12.125" style="842" customWidth="1"/>
    <col min="6412" max="6412" width="0.375" style="842" customWidth="1"/>
    <col min="6413" max="6413" width="21.75" style="842" customWidth="1"/>
    <col min="6414" max="6658" width="9.125" style="842"/>
    <col min="6659" max="6659" width="6.375" style="842" customWidth="1"/>
    <col min="6660" max="6660" width="51.875" style="842" customWidth="1"/>
    <col min="6661" max="6661" width="11" style="842" customWidth="1"/>
    <col min="6662" max="6662" width="17.125" style="842" customWidth="1"/>
    <col min="6663" max="6663" width="14.625" style="842" customWidth="1"/>
    <col min="6664" max="6665" width="12.25" style="842" customWidth="1"/>
    <col min="6666" max="6667" width="12.125" style="842" customWidth="1"/>
    <col min="6668" max="6668" width="0.375" style="842" customWidth="1"/>
    <col min="6669" max="6669" width="21.75" style="842" customWidth="1"/>
    <col min="6670" max="6914" width="9.125" style="842"/>
    <col min="6915" max="6915" width="6.375" style="842" customWidth="1"/>
    <col min="6916" max="6916" width="51.875" style="842" customWidth="1"/>
    <col min="6917" max="6917" width="11" style="842" customWidth="1"/>
    <col min="6918" max="6918" width="17.125" style="842" customWidth="1"/>
    <col min="6919" max="6919" width="14.625" style="842" customWidth="1"/>
    <col min="6920" max="6921" width="12.25" style="842" customWidth="1"/>
    <col min="6922" max="6923" width="12.125" style="842" customWidth="1"/>
    <col min="6924" max="6924" width="0.375" style="842" customWidth="1"/>
    <col min="6925" max="6925" width="21.75" style="842" customWidth="1"/>
    <col min="6926" max="7170" width="9.125" style="842"/>
    <col min="7171" max="7171" width="6.375" style="842" customWidth="1"/>
    <col min="7172" max="7172" width="51.875" style="842" customWidth="1"/>
    <col min="7173" max="7173" width="11" style="842" customWidth="1"/>
    <col min="7174" max="7174" width="17.125" style="842" customWidth="1"/>
    <col min="7175" max="7175" width="14.625" style="842" customWidth="1"/>
    <col min="7176" max="7177" width="12.25" style="842" customWidth="1"/>
    <col min="7178" max="7179" width="12.125" style="842" customWidth="1"/>
    <col min="7180" max="7180" width="0.375" style="842" customWidth="1"/>
    <col min="7181" max="7181" width="21.75" style="842" customWidth="1"/>
    <col min="7182" max="7426" width="9.125" style="842"/>
    <col min="7427" max="7427" width="6.375" style="842" customWidth="1"/>
    <col min="7428" max="7428" width="51.875" style="842" customWidth="1"/>
    <col min="7429" max="7429" width="11" style="842" customWidth="1"/>
    <col min="7430" max="7430" width="17.125" style="842" customWidth="1"/>
    <col min="7431" max="7431" width="14.625" style="842" customWidth="1"/>
    <col min="7432" max="7433" width="12.25" style="842" customWidth="1"/>
    <col min="7434" max="7435" width="12.125" style="842" customWidth="1"/>
    <col min="7436" max="7436" width="0.375" style="842" customWidth="1"/>
    <col min="7437" max="7437" width="21.75" style="842" customWidth="1"/>
    <col min="7438" max="7682" width="9.125" style="842"/>
    <col min="7683" max="7683" width="6.375" style="842" customWidth="1"/>
    <col min="7684" max="7684" width="51.875" style="842" customWidth="1"/>
    <col min="7685" max="7685" width="11" style="842" customWidth="1"/>
    <col min="7686" max="7686" width="17.125" style="842" customWidth="1"/>
    <col min="7687" max="7687" width="14.625" style="842" customWidth="1"/>
    <col min="7688" max="7689" width="12.25" style="842" customWidth="1"/>
    <col min="7690" max="7691" width="12.125" style="842" customWidth="1"/>
    <col min="7692" max="7692" width="0.375" style="842" customWidth="1"/>
    <col min="7693" max="7693" width="21.75" style="842" customWidth="1"/>
    <col min="7694" max="7938" width="9.125" style="842"/>
    <col min="7939" max="7939" width="6.375" style="842" customWidth="1"/>
    <col min="7940" max="7940" width="51.875" style="842" customWidth="1"/>
    <col min="7941" max="7941" width="11" style="842" customWidth="1"/>
    <col min="7942" max="7942" width="17.125" style="842" customWidth="1"/>
    <col min="7943" max="7943" width="14.625" style="842" customWidth="1"/>
    <col min="7944" max="7945" width="12.25" style="842" customWidth="1"/>
    <col min="7946" max="7947" width="12.125" style="842" customWidth="1"/>
    <col min="7948" max="7948" width="0.375" style="842" customWidth="1"/>
    <col min="7949" max="7949" width="21.75" style="842" customWidth="1"/>
    <col min="7950" max="8194" width="9.125" style="842"/>
    <col min="8195" max="8195" width="6.375" style="842" customWidth="1"/>
    <col min="8196" max="8196" width="51.875" style="842" customWidth="1"/>
    <col min="8197" max="8197" width="11" style="842" customWidth="1"/>
    <col min="8198" max="8198" width="17.125" style="842" customWidth="1"/>
    <col min="8199" max="8199" width="14.625" style="842" customWidth="1"/>
    <col min="8200" max="8201" width="12.25" style="842" customWidth="1"/>
    <col min="8202" max="8203" width="12.125" style="842" customWidth="1"/>
    <col min="8204" max="8204" width="0.375" style="842" customWidth="1"/>
    <col min="8205" max="8205" width="21.75" style="842" customWidth="1"/>
    <col min="8206" max="8450" width="9.125" style="842"/>
    <col min="8451" max="8451" width="6.375" style="842" customWidth="1"/>
    <col min="8452" max="8452" width="51.875" style="842" customWidth="1"/>
    <col min="8453" max="8453" width="11" style="842" customWidth="1"/>
    <col min="8454" max="8454" width="17.125" style="842" customWidth="1"/>
    <col min="8455" max="8455" width="14.625" style="842" customWidth="1"/>
    <col min="8456" max="8457" width="12.25" style="842" customWidth="1"/>
    <col min="8458" max="8459" width="12.125" style="842" customWidth="1"/>
    <col min="8460" max="8460" width="0.375" style="842" customWidth="1"/>
    <col min="8461" max="8461" width="21.75" style="842" customWidth="1"/>
    <col min="8462" max="8706" width="9.125" style="842"/>
    <col min="8707" max="8707" width="6.375" style="842" customWidth="1"/>
    <col min="8708" max="8708" width="51.875" style="842" customWidth="1"/>
    <col min="8709" max="8709" width="11" style="842" customWidth="1"/>
    <col min="8710" max="8710" width="17.125" style="842" customWidth="1"/>
    <col min="8711" max="8711" width="14.625" style="842" customWidth="1"/>
    <col min="8712" max="8713" width="12.25" style="842" customWidth="1"/>
    <col min="8714" max="8715" width="12.125" style="842" customWidth="1"/>
    <col min="8716" max="8716" width="0.375" style="842" customWidth="1"/>
    <col min="8717" max="8717" width="21.75" style="842" customWidth="1"/>
    <col min="8718" max="8962" width="9.125" style="842"/>
    <col min="8963" max="8963" width="6.375" style="842" customWidth="1"/>
    <col min="8964" max="8964" width="51.875" style="842" customWidth="1"/>
    <col min="8965" max="8965" width="11" style="842" customWidth="1"/>
    <col min="8966" max="8966" width="17.125" style="842" customWidth="1"/>
    <col min="8967" max="8967" width="14.625" style="842" customWidth="1"/>
    <col min="8968" max="8969" width="12.25" style="842" customWidth="1"/>
    <col min="8970" max="8971" width="12.125" style="842" customWidth="1"/>
    <col min="8972" max="8972" width="0.375" style="842" customWidth="1"/>
    <col min="8973" max="8973" width="21.75" style="842" customWidth="1"/>
    <col min="8974" max="9218" width="9.125" style="842"/>
    <col min="9219" max="9219" width="6.375" style="842" customWidth="1"/>
    <col min="9220" max="9220" width="51.875" style="842" customWidth="1"/>
    <col min="9221" max="9221" width="11" style="842" customWidth="1"/>
    <col min="9222" max="9222" width="17.125" style="842" customWidth="1"/>
    <col min="9223" max="9223" width="14.625" style="842" customWidth="1"/>
    <col min="9224" max="9225" width="12.25" style="842" customWidth="1"/>
    <col min="9226" max="9227" width="12.125" style="842" customWidth="1"/>
    <col min="9228" max="9228" width="0.375" style="842" customWidth="1"/>
    <col min="9229" max="9229" width="21.75" style="842" customWidth="1"/>
    <col min="9230" max="9474" width="9.125" style="842"/>
    <col min="9475" max="9475" width="6.375" style="842" customWidth="1"/>
    <col min="9476" max="9476" width="51.875" style="842" customWidth="1"/>
    <col min="9477" max="9477" width="11" style="842" customWidth="1"/>
    <col min="9478" max="9478" width="17.125" style="842" customWidth="1"/>
    <col min="9479" max="9479" width="14.625" style="842" customWidth="1"/>
    <col min="9480" max="9481" width="12.25" style="842" customWidth="1"/>
    <col min="9482" max="9483" width="12.125" style="842" customWidth="1"/>
    <col min="9484" max="9484" width="0.375" style="842" customWidth="1"/>
    <col min="9485" max="9485" width="21.75" style="842" customWidth="1"/>
    <col min="9486" max="9730" width="9.125" style="842"/>
    <col min="9731" max="9731" width="6.375" style="842" customWidth="1"/>
    <col min="9732" max="9732" width="51.875" style="842" customWidth="1"/>
    <col min="9733" max="9733" width="11" style="842" customWidth="1"/>
    <col min="9734" max="9734" width="17.125" style="842" customWidth="1"/>
    <col min="9735" max="9735" width="14.625" style="842" customWidth="1"/>
    <col min="9736" max="9737" width="12.25" style="842" customWidth="1"/>
    <col min="9738" max="9739" width="12.125" style="842" customWidth="1"/>
    <col min="9740" max="9740" width="0.375" style="842" customWidth="1"/>
    <col min="9741" max="9741" width="21.75" style="842" customWidth="1"/>
    <col min="9742" max="9986" width="9.125" style="842"/>
    <col min="9987" max="9987" width="6.375" style="842" customWidth="1"/>
    <col min="9988" max="9988" width="51.875" style="842" customWidth="1"/>
    <col min="9989" max="9989" width="11" style="842" customWidth="1"/>
    <col min="9990" max="9990" width="17.125" style="842" customWidth="1"/>
    <col min="9991" max="9991" width="14.625" style="842" customWidth="1"/>
    <col min="9992" max="9993" width="12.25" style="842" customWidth="1"/>
    <col min="9994" max="9995" width="12.125" style="842" customWidth="1"/>
    <col min="9996" max="9996" width="0.375" style="842" customWidth="1"/>
    <col min="9997" max="9997" width="21.75" style="842" customWidth="1"/>
    <col min="9998" max="10242" width="9.125" style="842"/>
    <col min="10243" max="10243" width="6.375" style="842" customWidth="1"/>
    <col min="10244" max="10244" width="51.875" style="842" customWidth="1"/>
    <col min="10245" max="10245" width="11" style="842" customWidth="1"/>
    <col min="10246" max="10246" width="17.125" style="842" customWidth="1"/>
    <col min="10247" max="10247" width="14.625" style="842" customWidth="1"/>
    <col min="10248" max="10249" width="12.25" style="842" customWidth="1"/>
    <col min="10250" max="10251" width="12.125" style="842" customWidth="1"/>
    <col min="10252" max="10252" width="0.375" style="842" customWidth="1"/>
    <col min="10253" max="10253" width="21.75" style="842" customWidth="1"/>
    <col min="10254" max="10498" width="9.125" style="842"/>
    <col min="10499" max="10499" width="6.375" style="842" customWidth="1"/>
    <col min="10500" max="10500" width="51.875" style="842" customWidth="1"/>
    <col min="10501" max="10501" width="11" style="842" customWidth="1"/>
    <col min="10502" max="10502" width="17.125" style="842" customWidth="1"/>
    <col min="10503" max="10503" width="14.625" style="842" customWidth="1"/>
    <col min="10504" max="10505" width="12.25" style="842" customWidth="1"/>
    <col min="10506" max="10507" width="12.125" style="842" customWidth="1"/>
    <col min="10508" max="10508" width="0.375" style="842" customWidth="1"/>
    <col min="10509" max="10509" width="21.75" style="842" customWidth="1"/>
    <col min="10510" max="10754" width="9.125" style="842"/>
    <col min="10755" max="10755" width="6.375" style="842" customWidth="1"/>
    <col min="10756" max="10756" width="51.875" style="842" customWidth="1"/>
    <col min="10757" max="10757" width="11" style="842" customWidth="1"/>
    <col min="10758" max="10758" width="17.125" style="842" customWidth="1"/>
    <col min="10759" max="10759" width="14.625" style="842" customWidth="1"/>
    <col min="10760" max="10761" width="12.25" style="842" customWidth="1"/>
    <col min="10762" max="10763" width="12.125" style="842" customWidth="1"/>
    <col min="10764" max="10764" width="0.375" style="842" customWidth="1"/>
    <col min="10765" max="10765" width="21.75" style="842" customWidth="1"/>
    <col min="10766" max="11010" width="9.125" style="842"/>
    <col min="11011" max="11011" width="6.375" style="842" customWidth="1"/>
    <col min="11012" max="11012" width="51.875" style="842" customWidth="1"/>
    <col min="11013" max="11013" width="11" style="842" customWidth="1"/>
    <col min="11014" max="11014" width="17.125" style="842" customWidth="1"/>
    <col min="11015" max="11015" width="14.625" style="842" customWidth="1"/>
    <col min="11016" max="11017" width="12.25" style="842" customWidth="1"/>
    <col min="11018" max="11019" width="12.125" style="842" customWidth="1"/>
    <col min="11020" max="11020" width="0.375" style="842" customWidth="1"/>
    <col min="11021" max="11021" width="21.75" style="842" customWidth="1"/>
    <col min="11022" max="11266" width="9.125" style="842"/>
    <col min="11267" max="11267" width="6.375" style="842" customWidth="1"/>
    <col min="11268" max="11268" width="51.875" style="842" customWidth="1"/>
    <col min="11269" max="11269" width="11" style="842" customWidth="1"/>
    <col min="11270" max="11270" width="17.125" style="842" customWidth="1"/>
    <col min="11271" max="11271" width="14.625" style="842" customWidth="1"/>
    <col min="11272" max="11273" width="12.25" style="842" customWidth="1"/>
    <col min="11274" max="11275" width="12.125" style="842" customWidth="1"/>
    <col min="11276" max="11276" width="0.375" style="842" customWidth="1"/>
    <col min="11277" max="11277" width="21.75" style="842" customWidth="1"/>
    <col min="11278" max="11522" width="9.125" style="842"/>
    <col min="11523" max="11523" width="6.375" style="842" customWidth="1"/>
    <col min="11524" max="11524" width="51.875" style="842" customWidth="1"/>
    <col min="11525" max="11525" width="11" style="842" customWidth="1"/>
    <col min="11526" max="11526" width="17.125" style="842" customWidth="1"/>
    <col min="11527" max="11527" width="14.625" style="842" customWidth="1"/>
    <col min="11528" max="11529" width="12.25" style="842" customWidth="1"/>
    <col min="11530" max="11531" width="12.125" style="842" customWidth="1"/>
    <col min="11532" max="11532" width="0.375" style="842" customWidth="1"/>
    <col min="11533" max="11533" width="21.75" style="842" customWidth="1"/>
    <col min="11534" max="11778" width="9.125" style="842"/>
    <col min="11779" max="11779" width="6.375" style="842" customWidth="1"/>
    <col min="11780" max="11780" width="51.875" style="842" customWidth="1"/>
    <col min="11781" max="11781" width="11" style="842" customWidth="1"/>
    <col min="11782" max="11782" width="17.125" style="842" customWidth="1"/>
    <col min="11783" max="11783" width="14.625" style="842" customWidth="1"/>
    <col min="11784" max="11785" width="12.25" style="842" customWidth="1"/>
    <col min="11786" max="11787" width="12.125" style="842" customWidth="1"/>
    <col min="11788" max="11788" width="0.375" style="842" customWidth="1"/>
    <col min="11789" max="11789" width="21.75" style="842" customWidth="1"/>
    <col min="11790" max="12034" width="9.125" style="842"/>
    <col min="12035" max="12035" width="6.375" style="842" customWidth="1"/>
    <col min="12036" max="12036" width="51.875" style="842" customWidth="1"/>
    <col min="12037" max="12037" width="11" style="842" customWidth="1"/>
    <col min="12038" max="12038" width="17.125" style="842" customWidth="1"/>
    <col min="12039" max="12039" width="14.625" style="842" customWidth="1"/>
    <col min="12040" max="12041" width="12.25" style="842" customWidth="1"/>
    <col min="12042" max="12043" width="12.125" style="842" customWidth="1"/>
    <col min="12044" max="12044" width="0.375" style="842" customWidth="1"/>
    <col min="12045" max="12045" width="21.75" style="842" customWidth="1"/>
    <col min="12046" max="12290" width="9.125" style="842"/>
    <col min="12291" max="12291" width="6.375" style="842" customWidth="1"/>
    <col min="12292" max="12292" width="51.875" style="842" customWidth="1"/>
    <col min="12293" max="12293" width="11" style="842" customWidth="1"/>
    <col min="12294" max="12294" width="17.125" style="842" customWidth="1"/>
    <col min="12295" max="12295" width="14.625" style="842" customWidth="1"/>
    <col min="12296" max="12297" width="12.25" style="842" customWidth="1"/>
    <col min="12298" max="12299" width="12.125" style="842" customWidth="1"/>
    <col min="12300" max="12300" width="0.375" style="842" customWidth="1"/>
    <col min="12301" max="12301" width="21.75" style="842" customWidth="1"/>
    <col min="12302" max="12546" width="9.125" style="842"/>
    <col min="12547" max="12547" width="6.375" style="842" customWidth="1"/>
    <col min="12548" max="12548" width="51.875" style="842" customWidth="1"/>
    <col min="12549" max="12549" width="11" style="842" customWidth="1"/>
    <col min="12550" max="12550" width="17.125" style="842" customWidth="1"/>
    <col min="12551" max="12551" width="14.625" style="842" customWidth="1"/>
    <col min="12552" max="12553" width="12.25" style="842" customWidth="1"/>
    <col min="12554" max="12555" width="12.125" style="842" customWidth="1"/>
    <col min="12556" max="12556" width="0.375" style="842" customWidth="1"/>
    <col min="12557" max="12557" width="21.75" style="842" customWidth="1"/>
    <col min="12558" max="12802" width="9.125" style="842"/>
    <col min="12803" max="12803" width="6.375" style="842" customWidth="1"/>
    <col min="12804" max="12804" width="51.875" style="842" customWidth="1"/>
    <col min="12805" max="12805" width="11" style="842" customWidth="1"/>
    <col min="12806" max="12806" width="17.125" style="842" customWidth="1"/>
    <col min="12807" max="12807" width="14.625" style="842" customWidth="1"/>
    <col min="12808" max="12809" width="12.25" style="842" customWidth="1"/>
    <col min="12810" max="12811" width="12.125" style="842" customWidth="1"/>
    <col min="12812" max="12812" width="0.375" style="842" customWidth="1"/>
    <col min="12813" max="12813" width="21.75" style="842" customWidth="1"/>
    <col min="12814" max="13058" width="9.125" style="842"/>
    <col min="13059" max="13059" width="6.375" style="842" customWidth="1"/>
    <col min="13060" max="13060" width="51.875" style="842" customWidth="1"/>
    <col min="13061" max="13061" width="11" style="842" customWidth="1"/>
    <col min="13062" max="13062" width="17.125" style="842" customWidth="1"/>
    <col min="13063" max="13063" width="14.625" style="842" customWidth="1"/>
    <col min="13064" max="13065" width="12.25" style="842" customWidth="1"/>
    <col min="13066" max="13067" width="12.125" style="842" customWidth="1"/>
    <col min="13068" max="13068" width="0.375" style="842" customWidth="1"/>
    <col min="13069" max="13069" width="21.75" style="842" customWidth="1"/>
    <col min="13070" max="13314" width="9.125" style="842"/>
    <col min="13315" max="13315" width="6.375" style="842" customWidth="1"/>
    <col min="13316" max="13316" width="51.875" style="842" customWidth="1"/>
    <col min="13317" max="13317" width="11" style="842" customWidth="1"/>
    <col min="13318" max="13318" width="17.125" style="842" customWidth="1"/>
    <col min="13319" max="13319" width="14.625" style="842" customWidth="1"/>
    <col min="13320" max="13321" width="12.25" style="842" customWidth="1"/>
    <col min="13322" max="13323" width="12.125" style="842" customWidth="1"/>
    <col min="13324" max="13324" width="0.375" style="842" customWidth="1"/>
    <col min="13325" max="13325" width="21.75" style="842" customWidth="1"/>
    <col min="13326" max="13570" width="9.125" style="842"/>
    <col min="13571" max="13571" width="6.375" style="842" customWidth="1"/>
    <col min="13572" max="13572" width="51.875" style="842" customWidth="1"/>
    <col min="13573" max="13573" width="11" style="842" customWidth="1"/>
    <col min="13574" max="13574" width="17.125" style="842" customWidth="1"/>
    <col min="13575" max="13575" width="14.625" style="842" customWidth="1"/>
    <col min="13576" max="13577" width="12.25" style="842" customWidth="1"/>
    <col min="13578" max="13579" width="12.125" style="842" customWidth="1"/>
    <col min="13580" max="13580" width="0.375" style="842" customWidth="1"/>
    <col min="13581" max="13581" width="21.75" style="842" customWidth="1"/>
    <col min="13582" max="13826" width="9.125" style="842"/>
    <col min="13827" max="13827" width="6.375" style="842" customWidth="1"/>
    <col min="13828" max="13828" width="51.875" style="842" customWidth="1"/>
    <col min="13829" max="13829" width="11" style="842" customWidth="1"/>
    <col min="13830" max="13830" width="17.125" style="842" customWidth="1"/>
    <col min="13831" max="13831" width="14.625" style="842" customWidth="1"/>
    <col min="13832" max="13833" width="12.25" style="842" customWidth="1"/>
    <col min="13834" max="13835" width="12.125" style="842" customWidth="1"/>
    <col min="13836" max="13836" width="0.375" style="842" customWidth="1"/>
    <col min="13837" max="13837" width="21.75" style="842" customWidth="1"/>
    <col min="13838" max="14082" width="9.125" style="842"/>
    <col min="14083" max="14083" width="6.375" style="842" customWidth="1"/>
    <col min="14084" max="14084" width="51.875" style="842" customWidth="1"/>
    <col min="14085" max="14085" width="11" style="842" customWidth="1"/>
    <col min="14086" max="14086" width="17.125" style="842" customWidth="1"/>
    <col min="14087" max="14087" width="14.625" style="842" customWidth="1"/>
    <col min="14088" max="14089" width="12.25" style="842" customWidth="1"/>
    <col min="14090" max="14091" width="12.125" style="842" customWidth="1"/>
    <col min="14092" max="14092" width="0.375" style="842" customWidth="1"/>
    <col min="14093" max="14093" width="21.75" style="842" customWidth="1"/>
    <col min="14094" max="14338" width="9.125" style="842"/>
    <col min="14339" max="14339" width="6.375" style="842" customWidth="1"/>
    <col min="14340" max="14340" width="51.875" style="842" customWidth="1"/>
    <col min="14341" max="14341" width="11" style="842" customWidth="1"/>
    <col min="14342" max="14342" width="17.125" style="842" customWidth="1"/>
    <col min="14343" max="14343" width="14.625" style="842" customWidth="1"/>
    <col min="14344" max="14345" width="12.25" style="842" customWidth="1"/>
    <col min="14346" max="14347" width="12.125" style="842" customWidth="1"/>
    <col min="14348" max="14348" width="0.375" style="842" customWidth="1"/>
    <col min="14349" max="14349" width="21.75" style="842" customWidth="1"/>
    <col min="14350" max="14594" width="9.125" style="842"/>
    <col min="14595" max="14595" width="6.375" style="842" customWidth="1"/>
    <col min="14596" max="14596" width="51.875" style="842" customWidth="1"/>
    <col min="14597" max="14597" width="11" style="842" customWidth="1"/>
    <col min="14598" max="14598" width="17.125" style="842" customWidth="1"/>
    <col min="14599" max="14599" width="14.625" style="842" customWidth="1"/>
    <col min="14600" max="14601" width="12.25" style="842" customWidth="1"/>
    <col min="14602" max="14603" width="12.125" style="842" customWidth="1"/>
    <col min="14604" max="14604" width="0.375" style="842" customWidth="1"/>
    <col min="14605" max="14605" width="21.75" style="842" customWidth="1"/>
    <col min="14606" max="14850" width="9.125" style="842"/>
    <col min="14851" max="14851" width="6.375" style="842" customWidth="1"/>
    <col min="14852" max="14852" width="51.875" style="842" customWidth="1"/>
    <col min="14853" max="14853" width="11" style="842" customWidth="1"/>
    <col min="14854" max="14854" width="17.125" style="842" customWidth="1"/>
    <col min="14855" max="14855" width="14.625" style="842" customWidth="1"/>
    <col min="14856" max="14857" width="12.25" style="842" customWidth="1"/>
    <col min="14858" max="14859" width="12.125" style="842" customWidth="1"/>
    <col min="14860" max="14860" width="0.375" style="842" customWidth="1"/>
    <col min="14861" max="14861" width="21.75" style="842" customWidth="1"/>
    <col min="14862" max="15106" width="9.125" style="842"/>
    <col min="15107" max="15107" width="6.375" style="842" customWidth="1"/>
    <col min="15108" max="15108" width="51.875" style="842" customWidth="1"/>
    <col min="15109" max="15109" width="11" style="842" customWidth="1"/>
    <col min="15110" max="15110" width="17.125" style="842" customWidth="1"/>
    <col min="15111" max="15111" width="14.625" style="842" customWidth="1"/>
    <col min="15112" max="15113" width="12.25" style="842" customWidth="1"/>
    <col min="15114" max="15115" width="12.125" style="842" customWidth="1"/>
    <col min="15116" max="15116" width="0.375" style="842" customWidth="1"/>
    <col min="15117" max="15117" width="21.75" style="842" customWidth="1"/>
    <col min="15118" max="15362" width="9.125" style="842"/>
    <col min="15363" max="15363" width="6.375" style="842" customWidth="1"/>
    <col min="15364" max="15364" width="51.875" style="842" customWidth="1"/>
    <col min="15365" max="15365" width="11" style="842" customWidth="1"/>
    <col min="15366" max="15366" width="17.125" style="842" customWidth="1"/>
    <col min="15367" max="15367" width="14.625" style="842" customWidth="1"/>
    <col min="15368" max="15369" width="12.25" style="842" customWidth="1"/>
    <col min="15370" max="15371" width="12.125" style="842" customWidth="1"/>
    <col min="15372" max="15372" width="0.375" style="842" customWidth="1"/>
    <col min="15373" max="15373" width="21.75" style="842" customWidth="1"/>
    <col min="15374" max="15618" width="9.125" style="842"/>
    <col min="15619" max="15619" width="6.375" style="842" customWidth="1"/>
    <col min="15620" max="15620" width="51.875" style="842" customWidth="1"/>
    <col min="15621" max="15621" width="11" style="842" customWidth="1"/>
    <col min="15622" max="15622" width="17.125" style="842" customWidth="1"/>
    <col min="15623" max="15623" width="14.625" style="842" customWidth="1"/>
    <col min="15624" max="15625" width="12.25" style="842" customWidth="1"/>
    <col min="15626" max="15627" width="12.125" style="842" customWidth="1"/>
    <col min="15628" max="15628" width="0.375" style="842" customWidth="1"/>
    <col min="15629" max="15629" width="21.75" style="842" customWidth="1"/>
    <col min="15630" max="15874" width="9.125" style="842"/>
    <col min="15875" max="15875" width="6.375" style="842" customWidth="1"/>
    <col min="15876" max="15876" width="51.875" style="842" customWidth="1"/>
    <col min="15877" max="15877" width="11" style="842" customWidth="1"/>
    <col min="15878" max="15878" width="17.125" style="842" customWidth="1"/>
    <col min="15879" max="15879" width="14.625" style="842" customWidth="1"/>
    <col min="15880" max="15881" width="12.25" style="842" customWidth="1"/>
    <col min="15882" max="15883" width="12.125" style="842" customWidth="1"/>
    <col min="15884" max="15884" width="0.375" style="842" customWidth="1"/>
    <col min="15885" max="15885" width="21.75" style="842" customWidth="1"/>
    <col min="15886" max="16130" width="9.125" style="842"/>
    <col min="16131" max="16131" width="6.375" style="842" customWidth="1"/>
    <col min="16132" max="16132" width="51.875" style="842" customWidth="1"/>
    <col min="16133" max="16133" width="11" style="842" customWidth="1"/>
    <col min="16134" max="16134" width="17.125" style="842" customWidth="1"/>
    <col min="16135" max="16135" width="14.625" style="842" customWidth="1"/>
    <col min="16136" max="16137" width="12.25" style="842" customWidth="1"/>
    <col min="16138" max="16139" width="12.125" style="842" customWidth="1"/>
    <col min="16140" max="16140" width="0.375" style="842" customWidth="1"/>
    <col min="16141" max="16141" width="21.75" style="842" customWidth="1"/>
    <col min="16142" max="16384" width="9.125" style="842"/>
  </cols>
  <sheetData>
    <row r="1" spans="1:13">
      <c r="A1" s="1379" t="s">
        <v>1067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</row>
    <row r="2" spans="1:13">
      <c r="A2" s="1379" t="s">
        <v>1111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</row>
    <row r="3" spans="1:13" hidden="1">
      <c r="A3" s="1380" t="s">
        <v>1068</v>
      </c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</row>
    <row r="4" spans="1:13" s="845" customFormat="1">
      <c r="A4" s="843"/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</row>
    <row r="5" spans="1:13" s="843" customFormat="1">
      <c r="A5" s="843" t="s">
        <v>1112</v>
      </c>
    </row>
    <row r="6" spans="1:13" s="847" customFormat="1" ht="65.25">
      <c r="A6" s="846" t="s">
        <v>3</v>
      </c>
      <c r="B6" s="846" t="s">
        <v>1069</v>
      </c>
      <c r="C6" s="846" t="s">
        <v>1070</v>
      </c>
      <c r="D6" s="846" t="s">
        <v>1071</v>
      </c>
      <c r="E6" s="846" t="s">
        <v>1072</v>
      </c>
      <c r="F6" s="846" t="s">
        <v>1073</v>
      </c>
      <c r="G6" s="846" t="s">
        <v>1113</v>
      </c>
      <c r="H6" s="1381" t="s">
        <v>1074</v>
      </c>
      <c r="I6" s="1382"/>
      <c r="J6" s="1382"/>
      <c r="K6" s="1382"/>
      <c r="L6" s="1382"/>
      <c r="M6" s="846" t="s">
        <v>1075</v>
      </c>
    </row>
    <row r="7" spans="1:13" s="847" customFormat="1" ht="43.5">
      <c r="A7" s="848"/>
      <c r="B7" s="848"/>
      <c r="C7" s="848"/>
      <c r="D7" s="848"/>
      <c r="E7" s="848"/>
      <c r="F7" s="848"/>
      <c r="G7" s="848"/>
      <c r="H7" s="849" t="s">
        <v>1076</v>
      </c>
      <c r="I7" s="849" t="s">
        <v>989</v>
      </c>
      <c r="J7" s="849" t="s">
        <v>1077</v>
      </c>
      <c r="K7" s="849" t="s">
        <v>1078</v>
      </c>
      <c r="L7" s="849"/>
      <c r="M7" s="848"/>
    </row>
    <row r="8" spans="1:13">
      <c r="A8" s="850">
        <v>1</v>
      </c>
      <c r="B8" s="851" t="s">
        <v>1079</v>
      </c>
      <c r="C8" s="850"/>
      <c r="D8" s="852"/>
      <c r="E8" s="852"/>
      <c r="F8" s="852"/>
      <c r="G8" s="852"/>
      <c r="H8" s="850"/>
      <c r="I8" s="850"/>
      <c r="J8" s="850"/>
      <c r="K8" s="850"/>
      <c r="L8" s="850"/>
      <c r="M8" s="852"/>
    </row>
    <row r="9" spans="1:13">
      <c r="A9" s="853"/>
      <c r="B9" s="854" t="s">
        <v>1080</v>
      </c>
      <c r="C9" s="855">
        <v>11</v>
      </c>
      <c r="D9" s="856">
        <f>19380700+871160</f>
        <v>20251860</v>
      </c>
      <c r="E9" s="856">
        <f>5149392</f>
        <v>5149392</v>
      </c>
      <c r="F9" s="856">
        <v>5395835</v>
      </c>
      <c r="G9" s="856">
        <f>รายงานการดำเนินงาน!P10</f>
        <v>4362166.34</v>
      </c>
      <c r="H9" s="857" t="s">
        <v>646</v>
      </c>
      <c r="I9" s="857" t="s">
        <v>1086</v>
      </c>
      <c r="J9" s="857" t="s">
        <v>1191</v>
      </c>
      <c r="K9" s="857" t="s">
        <v>1081</v>
      </c>
      <c r="L9" s="857"/>
      <c r="M9" s="855" t="s">
        <v>646</v>
      </c>
    </row>
    <row r="10" spans="1:13">
      <c r="A10" s="853"/>
      <c r="B10" s="858" t="s">
        <v>1190</v>
      </c>
      <c r="C10" s="859">
        <v>1</v>
      </c>
      <c r="D10" s="860">
        <v>200000</v>
      </c>
      <c r="E10" s="860">
        <f>รายงานการดำเนินงาน!N34</f>
        <v>13570</v>
      </c>
      <c r="F10" s="860">
        <f>รายงานการดำเนินงาน!O34</f>
        <v>27486</v>
      </c>
      <c r="G10" s="860">
        <f>รายงานการดำเนินงาน!P34</f>
        <v>60338</v>
      </c>
      <c r="H10" s="861" t="s">
        <v>646</v>
      </c>
      <c r="I10" s="861" t="s">
        <v>1081</v>
      </c>
      <c r="J10" s="861" t="s">
        <v>646</v>
      </c>
      <c r="K10" s="861" t="s">
        <v>646</v>
      </c>
      <c r="L10" s="862"/>
      <c r="M10" s="863" t="s">
        <v>646</v>
      </c>
    </row>
    <row r="11" spans="1:13">
      <c r="A11" s="853"/>
      <c r="B11" s="864" t="s">
        <v>1084</v>
      </c>
      <c r="C11" s="859">
        <v>8</v>
      </c>
      <c r="D11" s="860">
        <v>2360000</v>
      </c>
      <c r="E11" s="860">
        <f>600500+55014</f>
        <v>655514</v>
      </c>
      <c r="F11" s="860">
        <f>23100+55014+19200</f>
        <v>97314</v>
      </c>
      <c r="G11" s="860">
        <v>0</v>
      </c>
      <c r="H11" s="861" t="s">
        <v>646</v>
      </c>
      <c r="I11" s="861" t="s">
        <v>1086</v>
      </c>
      <c r="J11" s="861" t="s">
        <v>1091</v>
      </c>
      <c r="K11" s="861" t="s">
        <v>646</v>
      </c>
      <c r="L11" s="861"/>
      <c r="M11" s="859" t="s">
        <v>646</v>
      </c>
    </row>
    <row r="12" spans="1:13">
      <c r="A12" s="853"/>
      <c r="B12" s="854" t="s">
        <v>1087</v>
      </c>
      <c r="C12" s="855">
        <v>6</v>
      </c>
      <c r="D12" s="856">
        <v>1903100</v>
      </c>
      <c r="E12" s="856">
        <f>รายงานการดำเนินงาน!N53</f>
        <v>1736100</v>
      </c>
      <c r="F12" s="856">
        <f>รายงานการดำเนินงาน!O53</f>
        <v>1705100</v>
      </c>
      <c r="G12" s="856">
        <f>รายงานการดำเนินงาน!P53</f>
        <v>855600</v>
      </c>
      <c r="H12" s="857" t="s">
        <v>646</v>
      </c>
      <c r="I12" s="857" t="s">
        <v>646</v>
      </c>
      <c r="J12" s="857" t="s">
        <v>1192</v>
      </c>
      <c r="K12" s="857" t="s">
        <v>646</v>
      </c>
      <c r="L12" s="857"/>
      <c r="M12" s="855" t="s">
        <v>646</v>
      </c>
    </row>
    <row r="13" spans="1:13">
      <c r="A13" s="853"/>
      <c r="B13" s="865" t="s">
        <v>1088</v>
      </c>
      <c r="C13" s="859">
        <v>1</v>
      </c>
      <c r="D13" s="860">
        <v>2570000</v>
      </c>
      <c r="E13" s="861">
        <v>129289</v>
      </c>
      <c r="F13" s="861">
        <f>รายงานการดำเนินงาน!O71</f>
        <v>100217</v>
      </c>
      <c r="G13" s="861">
        <f>รายงานการดำเนินงาน!P71</f>
        <v>85494</v>
      </c>
      <c r="H13" s="861" t="s">
        <v>646</v>
      </c>
      <c r="I13" s="861" t="s">
        <v>1081</v>
      </c>
      <c r="J13" s="861" t="s">
        <v>646</v>
      </c>
      <c r="K13" s="861" t="s">
        <v>646</v>
      </c>
      <c r="L13" s="861"/>
      <c r="M13" s="859" t="s">
        <v>646</v>
      </c>
    </row>
    <row r="14" spans="1:13">
      <c r="A14" s="853"/>
      <c r="B14" s="865" t="s">
        <v>1089</v>
      </c>
      <c r="C14" s="859">
        <v>1</v>
      </c>
      <c r="D14" s="860">
        <v>2594000</v>
      </c>
      <c r="E14" s="861">
        <v>0</v>
      </c>
      <c r="F14" s="861">
        <v>0</v>
      </c>
      <c r="G14" s="861">
        <v>0</v>
      </c>
      <c r="H14" s="861" t="s">
        <v>646</v>
      </c>
      <c r="I14" s="861" t="s">
        <v>646</v>
      </c>
      <c r="J14" s="861" t="s">
        <v>646</v>
      </c>
      <c r="K14" s="861" t="s">
        <v>1081</v>
      </c>
      <c r="L14" s="861"/>
      <c r="M14" s="859" t="s">
        <v>646</v>
      </c>
    </row>
    <row r="15" spans="1:13" ht="51.75" customHeight="1">
      <c r="A15" s="853"/>
      <c r="B15" s="865" t="s">
        <v>1090</v>
      </c>
      <c r="C15" s="859">
        <v>40</v>
      </c>
      <c r="D15" s="860">
        <f>6689000-D19</f>
        <v>6207000</v>
      </c>
      <c r="E15" s="860">
        <v>439944</v>
      </c>
      <c r="F15" s="860">
        <v>355834</v>
      </c>
      <c r="G15" s="860">
        <f>รายงานการดำเนินงาน!P91+2408+698320+194130+8075+8125+27745+45595</f>
        <v>1445196</v>
      </c>
      <c r="H15" s="936" t="s">
        <v>646</v>
      </c>
      <c r="I15" s="936" t="s">
        <v>1218</v>
      </c>
      <c r="J15" s="936" t="s">
        <v>1217</v>
      </c>
      <c r="K15" s="936" t="s">
        <v>1083</v>
      </c>
      <c r="L15" s="861"/>
      <c r="M15" s="859" t="s">
        <v>646</v>
      </c>
    </row>
    <row r="16" spans="1:13">
      <c r="A16" s="850">
        <v>2</v>
      </c>
      <c r="B16" s="851" t="s">
        <v>1092</v>
      </c>
      <c r="C16" s="850"/>
      <c r="D16" s="866"/>
      <c r="E16" s="866"/>
      <c r="F16" s="866"/>
      <c r="G16" s="866"/>
      <c r="H16" s="867"/>
      <c r="I16" s="867"/>
      <c r="J16" s="867"/>
      <c r="K16" s="867"/>
      <c r="L16" s="867"/>
      <c r="M16" s="850" t="s">
        <v>34</v>
      </c>
    </row>
    <row r="17" spans="1:13">
      <c r="A17" s="853"/>
      <c r="B17" s="854" t="s">
        <v>1093</v>
      </c>
      <c r="C17" s="855">
        <v>3</v>
      </c>
      <c r="D17" s="856">
        <f>1193500+1321100+368500</f>
        <v>2883100</v>
      </c>
      <c r="E17" s="856">
        <v>0</v>
      </c>
      <c r="F17" s="856">
        <f>D17/2</f>
        <v>1441550</v>
      </c>
      <c r="G17" s="856">
        <v>0</v>
      </c>
      <c r="H17" s="857" t="s">
        <v>646</v>
      </c>
      <c r="I17" s="857" t="s">
        <v>1085</v>
      </c>
      <c r="J17" s="857" t="s">
        <v>646</v>
      </c>
      <c r="K17" s="857" t="s">
        <v>646</v>
      </c>
      <c r="L17" s="857"/>
      <c r="M17" s="855" t="s">
        <v>646</v>
      </c>
    </row>
    <row r="18" spans="1:13">
      <c r="A18" s="853"/>
      <c r="B18" s="865" t="s">
        <v>1094</v>
      </c>
      <c r="C18" s="859">
        <v>3</v>
      </c>
      <c r="D18" s="860">
        <f>312400+336600+273900</f>
        <v>922900</v>
      </c>
      <c r="E18" s="856">
        <v>0</v>
      </c>
      <c r="F18" s="856">
        <f>D18/2</f>
        <v>461450</v>
      </c>
      <c r="G18" s="856">
        <v>0</v>
      </c>
      <c r="H18" s="861" t="s">
        <v>646</v>
      </c>
      <c r="I18" s="861" t="s">
        <v>1085</v>
      </c>
      <c r="J18" s="861" t="s">
        <v>646</v>
      </c>
      <c r="K18" s="861" t="s">
        <v>646</v>
      </c>
      <c r="L18" s="861"/>
      <c r="M18" s="859" t="s">
        <v>646</v>
      </c>
    </row>
    <row r="19" spans="1:13">
      <c r="A19" s="855"/>
      <c r="B19" s="865" t="s">
        <v>1095</v>
      </c>
      <c r="C19" s="859">
        <v>6</v>
      </c>
      <c r="D19" s="860">
        <v>482000</v>
      </c>
      <c r="E19" s="860">
        <v>0</v>
      </c>
      <c r="F19" s="860">
        <v>0</v>
      </c>
      <c r="G19" s="860">
        <f>190000+190000+680+250000+40000</f>
        <v>670680</v>
      </c>
      <c r="H19" s="861" t="s">
        <v>646</v>
      </c>
      <c r="I19" s="861" t="s">
        <v>1082</v>
      </c>
      <c r="J19" s="861" t="s">
        <v>646</v>
      </c>
      <c r="K19" s="861" t="s">
        <v>1081</v>
      </c>
      <c r="L19" s="861"/>
      <c r="M19" s="859" t="s">
        <v>646</v>
      </c>
    </row>
    <row r="20" spans="1:13">
      <c r="A20" s="850">
        <v>3</v>
      </c>
      <c r="B20" s="851" t="s">
        <v>1096</v>
      </c>
      <c r="C20" s="850"/>
      <c r="D20" s="866"/>
      <c r="E20" s="866" t="s">
        <v>34</v>
      </c>
      <c r="F20" s="866"/>
      <c r="G20" s="866"/>
      <c r="H20" s="867"/>
      <c r="I20" s="867"/>
      <c r="J20" s="867"/>
      <c r="K20" s="867"/>
      <c r="L20" s="867"/>
      <c r="M20" s="852"/>
    </row>
    <row r="21" spans="1:13" s="872" customFormat="1">
      <c r="A21" s="853"/>
      <c r="B21" s="868" t="s">
        <v>1097</v>
      </c>
      <c r="C21" s="853">
        <v>9</v>
      </c>
      <c r="D21" s="869">
        <v>1887700</v>
      </c>
      <c r="E21" s="870">
        <v>0</v>
      </c>
      <c r="F21" s="870">
        <v>0</v>
      </c>
      <c r="G21" s="870"/>
      <c r="H21" s="871" t="s">
        <v>737</v>
      </c>
      <c r="I21" s="871" t="s">
        <v>1081</v>
      </c>
      <c r="J21" s="871" t="s">
        <v>1191</v>
      </c>
      <c r="K21" s="871" t="s">
        <v>646</v>
      </c>
      <c r="L21" s="871"/>
      <c r="M21" s="853" t="s">
        <v>646</v>
      </c>
    </row>
    <row r="22" spans="1:13">
      <c r="A22" s="855"/>
      <c r="B22" s="854" t="s">
        <v>1098</v>
      </c>
      <c r="C22" s="855">
        <v>1</v>
      </c>
      <c r="D22" s="856">
        <v>30000</v>
      </c>
      <c r="E22" s="856">
        <v>0</v>
      </c>
      <c r="F22" s="856">
        <v>0</v>
      </c>
      <c r="G22" s="856"/>
      <c r="H22" s="857" t="s">
        <v>1081</v>
      </c>
      <c r="I22" s="857" t="s">
        <v>646</v>
      </c>
      <c r="J22" s="857" t="s">
        <v>646</v>
      </c>
      <c r="K22" s="871" t="s">
        <v>646</v>
      </c>
      <c r="L22" s="857"/>
      <c r="M22" s="855" t="s">
        <v>646</v>
      </c>
    </row>
    <row r="23" spans="1:13">
      <c r="A23" s="850">
        <v>4</v>
      </c>
      <c r="B23" s="873" t="s">
        <v>1099</v>
      </c>
      <c r="C23" s="850"/>
      <c r="D23" s="866"/>
      <c r="E23" s="866"/>
      <c r="F23" s="866"/>
      <c r="G23" s="866"/>
      <c r="H23" s="867"/>
      <c r="I23" s="867"/>
      <c r="J23" s="867"/>
      <c r="K23" s="867"/>
      <c r="L23" s="867"/>
      <c r="M23" s="852"/>
    </row>
    <row r="24" spans="1:13" s="872" customFormat="1">
      <c r="A24" s="853"/>
      <c r="B24" s="868" t="s">
        <v>1100</v>
      </c>
      <c r="C24" s="853">
        <v>4</v>
      </c>
      <c r="D24" s="874">
        <v>480000</v>
      </c>
      <c r="E24" s="869">
        <v>0</v>
      </c>
      <c r="F24" s="869">
        <v>0</v>
      </c>
      <c r="G24" s="869"/>
      <c r="H24" s="853" t="s">
        <v>646</v>
      </c>
      <c r="I24" s="853" t="s">
        <v>1086</v>
      </c>
      <c r="J24" s="853" t="s">
        <v>1086</v>
      </c>
      <c r="K24" s="853" t="s">
        <v>646</v>
      </c>
      <c r="L24" s="871"/>
      <c r="M24" s="853" t="s">
        <v>646</v>
      </c>
    </row>
    <row r="25" spans="1:13">
      <c r="A25" s="855"/>
      <c r="B25" s="854" t="s">
        <v>1101</v>
      </c>
      <c r="C25" s="855">
        <v>2</v>
      </c>
      <c r="D25" s="856">
        <v>320000</v>
      </c>
      <c r="E25" s="856">
        <v>50252</v>
      </c>
      <c r="F25" s="934">
        <v>47052</v>
      </c>
      <c r="G25" s="856">
        <v>52380</v>
      </c>
      <c r="H25" s="857" t="s">
        <v>646</v>
      </c>
      <c r="I25" s="857" t="s">
        <v>1081</v>
      </c>
      <c r="J25" s="857" t="s">
        <v>1081</v>
      </c>
      <c r="K25" s="857" t="s">
        <v>646</v>
      </c>
      <c r="L25" s="857"/>
      <c r="M25" s="855" t="s">
        <v>646</v>
      </c>
    </row>
    <row r="26" spans="1:13">
      <c r="A26" s="859">
        <v>5</v>
      </c>
      <c r="B26" s="875" t="s">
        <v>1102</v>
      </c>
      <c r="C26" s="859" t="s">
        <v>34</v>
      </c>
      <c r="D26" s="859" t="s">
        <v>646</v>
      </c>
      <c r="E26" s="859" t="s">
        <v>646</v>
      </c>
      <c r="F26" s="856">
        <f>รายงานการดำเนินงาน!O50+รายงานการดำเนินงาน!O139</f>
        <v>30180</v>
      </c>
      <c r="G26" s="859"/>
      <c r="H26" s="859" t="s">
        <v>737</v>
      </c>
      <c r="I26" s="859" t="s">
        <v>646</v>
      </c>
      <c r="J26" s="859" t="s">
        <v>646</v>
      </c>
      <c r="K26" s="859" t="s">
        <v>646</v>
      </c>
      <c r="L26" s="861"/>
      <c r="M26" s="859" t="s">
        <v>646</v>
      </c>
    </row>
    <row r="27" spans="1:13" s="876" customFormat="1" ht="24" thickBot="1">
      <c r="D27" s="877">
        <f>SUM(D9:D26)</f>
        <v>43091660</v>
      </c>
      <c r="E27" s="877">
        <f>SUM(E9:E26)</f>
        <v>8174061</v>
      </c>
      <c r="F27" s="877">
        <f>SUM(F9:F26)</f>
        <v>9662018</v>
      </c>
      <c r="G27" s="877">
        <f>SUM(G9:G26)</f>
        <v>7531854.3399999999</v>
      </c>
      <c r="H27" s="878">
        <f>E27+F27+G27</f>
        <v>25367933.34</v>
      </c>
      <c r="I27" s="879" t="s">
        <v>1103</v>
      </c>
      <c r="J27" s="880">
        <f>H27/D27*100</f>
        <v>58.869705506819649</v>
      </c>
      <c r="K27" s="879" t="s">
        <v>1104</v>
      </c>
      <c r="L27" s="880"/>
    </row>
    <row r="28" spans="1:13" ht="24" thickTop="1">
      <c r="D28" s="882"/>
      <c r="E28" s="882"/>
      <c r="F28" s="882"/>
      <c r="G28" s="882"/>
      <c r="H28" s="883"/>
      <c r="I28" s="884"/>
      <c r="J28" s="885"/>
      <c r="K28" s="884"/>
      <c r="L28" s="885"/>
    </row>
    <row r="29" spans="1:13">
      <c r="A29" s="938"/>
      <c r="C29" s="938"/>
      <c r="D29" s="882"/>
      <c r="E29" s="882"/>
      <c r="F29" s="882"/>
      <c r="G29" s="882"/>
      <c r="H29" s="883"/>
      <c r="I29" s="884"/>
      <c r="J29" s="885"/>
      <c r="K29" s="884"/>
      <c r="L29" s="885"/>
    </row>
    <row r="30" spans="1:13">
      <c r="A30" s="938"/>
      <c r="C30" s="938"/>
      <c r="D30" s="882"/>
      <c r="E30" s="882"/>
      <c r="F30" s="882"/>
      <c r="G30" s="882"/>
      <c r="H30" s="883"/>
      <c r="I30" s="884"/>
      <c r="J30" s="885"/>
      <c r="K30" s="884"/>
      <c r="L30" s="885"/>
    </row>
    <row r="31" spans="1:13" s="843" customFormat="1">
      <c r="A31" s="843" t="s">
        <v>1105</v>
      </c>
    </row>
    <row r="32" spans="1:13" s="845" customFormat="1">
      <c r="A32" s="844"/>
      <c r="B32" s="845" t="s">
        <v>1106</v>
      </c>
      <c r="C32" s="844"/>
      <c r="D32" s="886"/>
      <c r="E32" s="886"/>
      <c r="F32" s="886"/>
      <c r="G32" s="886"/>
      <c r="H32" s="887"/>
      <c r="I32" s="888"/>
      <c r="J32" s="889"/>
      <c r="K32" s="888"/>
      <c r="L32" s="889"/>
    </row>
    <row r="33" spans="1:12" s="845" customFormat="1">
      <c r="A33" s="844"/>
      <c r="B33" s="935" t="s">
        <v>1215</v>
      </c>
      <c r="C33" s="844"/>
      <c r="D33" s="886"/>
      <c r="E33" s="886"/>
      <c r="F33" s="886"/>
      <c r="G33" s="886"/>
      <c r="H33" s="887"/>
      <c r="I33" s="888"/>
      <c r="J33" s="889"/>
      <c r="K33" s="888"/>
      <c r="L33" s="889"/>
    </row>
    <row r="34" spans="1:12" s="845" customFormat="1">
      <c r="A34" s="844"/>
      <c r="B34" s="890" t="s">
        <v>1107</v>
      </c>
      <c r="C34" s="844"/>
      <c r="D34" s="886"/>
      <c r="E34" s="886"/>
      <c r="F34" s="886"/>
      <c r="G34" s="886"/>
      <c r="H34" s="887"/>
      <c r="I34" s="888"/>
      <c r="J34" s="889"/>
      <c r="K34" s="888"/>
      <c r="L34" s="889"/>
    </row>
    <row r="35" spans="1:12" s="845" customFormat="1">
      <c r="A35" s="844"/>
      <c r="B35" s="891"/>
      <c r="C35" s="844"/>
      <c r="D35" s="886"/>
      <c r="E35" s="886"/>
      <c r="F35" s="886"/>
      <c r="G35" s="886"/>
      <c r="H35" s="887"/>
      <c r="I35" s="888"/>
      <c r="J35" s="889"/>
      <c r="K35" s="888"/>
      <c r="L35" s="889"/>
    </row>
    <row r="36" spans="1:12" s="843" customFormat="1">
      <c r="A36" s="843" t="s">
        <v>1108</v>
      </c>
    </row>
    <row r="37" spans="1:12">
      <c r="B37" s="892" t="s">
        <v>1210</v>
      </c>
      <c r="D37" s="885"/>
      <c r="E37" s="885"/>
      <c r="F37" s="885"/>
      <c r="G37" s="885"/>
      <c r="H37" s="885"/>
      <c r="I37" s="885"/>
      <c r="J37" s="885"/>
      <c r="K37" s="885"/>
      <c r="L37" s="885"/>
    </row>
    <row r="38" spans="1:12">
      <c r="B38" s="892" t="s">
        <v>1213</v>
      </c>
      <c r="D38" s="885"/>
      <c r="E38" s="885"/>
      <c r="F38" s="885"/>
      <c r="G38" s="885"/>
      <c r="H38" s="885"/>
      <c r="I38" s="885"/>
      <c r="J38" s="885"/>
      <c r="K38" s="885"/>
      <c r="L38" s="885"/>
    </row>
    <row r="39" spans="1:12">
      <c r="A39" s="933"/>
      <c r="B39" s="892" t="s">
        <v>1211</v>
      </c>
      <c r="C39" s="933"/>
      <c r="D39" s="885"/>
      <c r="E39" s="885"/>
      <c r="F39" s="885"/>
      <c r="G39" s="885"/>
      <c r="H39" s="885"/>
      <c r="I39" s="885"/>
      <c r="J39" s="885"/>
      <c r="K39" s="885"/>
      <c r="L39" s="885"/>
    </row>
    <row r="40" spans="1:12">
      <c r="A40" s="933"/>
      <c r="B40" s="892" t="s">
        <v>1214</v>
      </c>
      <c r="C40" s="933"/>
      <c r="D40" s="885"/>
      <c r="E40" s="885"/>
      <c r="F40" s="885"/>
      <c r="G40" s="885"/>
      <c r="H40" s="885"/>
      <c r="I40" s="885"/>
      <c r="J40" s="885"/>
      <c r="K40" s="885"/>
      <c r="L40" s="885"/>
    </row>
    <row r="41" spans="1:12">
      <c r="B41" s="893" t="s">
        <v>1109</v>
      </c>
      <c r="D41" s="885"/>
      <c r="E41" s="885"/>
      <c r="F41" s="885"/>
      <c r="G41" s="885"/>
      <c r="H41" s="885"/>
      <c r="I41" s="885"/>
      <c r="J41" s="885"/>
      <c r="K41" s="885"/>
      <c r="L41" s="885"/>
    </row>
    <row r="42" spans="1:12" s="845" customFormat="1">
      <c r="A42" s="844"/>
      <c r="B42" s="892" t="s">
        <v>1212</v>
      </c>
      <c r="C42" s="844"/>
      <c r="D42" s="889"/>
      <c r="E42" s="889"/>
      <c r="F42" s="889"/>
      <c r="G42" s="889"/>
      <c r="H42" s="889"/>
      <c r="I42" s="889"/>
      <c r="J42" s="889"/>
      <c r="K42" s="889"/>
      <c r="L42" s="889"/>
    </row>
    <row r="43" spans="1:12" s="845" customFormat="1">
      <c r="A43" s="844"/>
      <c r="B43" s="892" t="s">
        <v>1216</v>
      </c>
      <c r="C43" s="844"/>
      <c r="D43" s="889"/>
      <c r="E43" s="889"/>
      <c r="F43" s="889"/>
      <c r="G43" s="889"/>
      <c r="H43" s="889"/>
      <c r="I43" s="889"/>
      <c r="J43" s="889"/>
      <c r="K43" s="889"/>
      <c r="L43" s="889"/>
    </row>
    <row r="44" spans="1:12" s="845" customFormat="1">
      <c r="A44" s="844"/>
      <c r="C44" s="844"/>
      <c r="D44" s="889"/>
      <c r="E44" s="889"/>
      <c r="F44" s="889"/>
      <c r="G44" s="889"/>
      <c r="H44" s="889"/>
      <c r="I44" s="889"/>
      <c r="J44" s="889"/>
      <c r="K44" s="889"/>
      <c r="L44" s="889"/>
    </row>
    <row r="45" spans="1:12">
      <c r="D45" s="885"/>
      <c r="E45" s="885"/>
      <c r="F45" s="885"/>
      <c r="G45" s="885"/>
      <c r="H45" s="885"/>
      <c r="I45" s="885"/>
      <c r="J45" s="885"/>
      <c r="K45" s="885"/>
      <c r="L45" s="885"/>
    </row>
    <row r="46" spans="1:12" s="845" customFormat="1">
      <c r="A46" s="844"/>
      <c r="B46" s="894" t="s">
        <v>1110</v>
      </c>
      <c r="C46" s="844"/>
      <c r="D46" s="889"/>
      <c r="E46" s="889"/>
      <c r="F46" s="889"/>
      <c r="G46" s="889"/>
      <c r="H46" s="889"/>
      <c r="I46" s="889"/>
      <c r="J46" s="889"/>
      <c r="K46" s="889"/>
      <c r="L46" s="889"/>
    </row>
    <row r="47" spans="1:12">
      <c r="D47" s="885"/>
      <c r="E47" s="885"/>
      <c r="F47" s="885"/>
      <c r="G47" s="885"/>
      <c r="H47" s="885"/>
      <c r="I47" s="885"/>
      <c r="J47" s="885"/>
      <c r="K47" s="885"/>
      <c r="L47" s="885"/>
    </row>
    <row r="48" spans="1:12">
      <c r="D48" s="885"/>
      <c r="E48" s="885"/>
      <c r="F48" s="885"/>
      <c r="G48" s="885"/>
      <c r="H48" s="885"/>
      <c r="I48" s="885"/>
      <c r="J48" s="885"/>
      <c r="K48" s="885"/>
      <c r="L48" s="885"/>
    </row>
    <row r="49" spans="4:12">
      <c r="D49" s="885"/>
      <c r="E49" s="885"/>
      <c r="F49" s="885"/>
      <c r="G49" s="885"/>
      <c r="H49" s="885"/>
      <c r="I49" s="885"/>
      <c r="J49" s="885"/>
      <c r="K49" s="885"/>
      <c r="L49" s="885"/>
    </row>
    <row r="50" spans="4:12">
      <c r="D50" s="885"/>
      <c r="E50" s="885"/>
      <c r="F50" s="885"/>
      <c r="G50" s="885"/>
      <c r="H50" s="885"/>
      <c r="I50" s="885"/>
      <c r="J50" s="885"/>
      <c r="K50" s="885"/>
      <c r="L50" s="885"/>
    </row>
    <row r="51" spans="4:12">
      <c r="D51" s="885"/>
      <c r="E51" s="885"/>
      <c r="F51" s="885"/>
      <c r="G51" s="885"/>
      <c r="H51" s="885"/>
      <c r="I51" s="885"/>
      <c r="J51" s="885"/>
      <c r="K51" s="885"/>
      <c r="L51" s="885"/>
    </row>
    <row r="52" spans="4:12">
      <c r="D52" s="885"/>
      <c r="E52" s="885"/>
      <c r="F52" s="885"/>
      <c r="G52" s="885"/>
      <c r="H52" s="885"/>
      <c r="I52" s="885"/>
      <c r="J52" s="885"/>
      <c r="K52" s="885"/>
      <c r="L52" s="885"/>
    </row>
    <row r="53" spans="4:12">
      <c r="D53" s="885"/>
      <c r="E53" s="885"/>
      <c r="F53" s="885"/>
      <c r="G53" s="885"/>
      <c r="H53" s="885"/>
      <c r="I53" s="885"/>
      <c r="J53" s="885"/>
      <c r="K53" s="885"/>
      <c r="L53" s="885"/>
    </row>
    <row r="54" spans="4:12">
      <c r="D54" s="885"/>
      <c r="E54" s="885"/>
      <c r="F54" s="885"/>
      <c r="G54" s="885"/>
      <c r="H54" s="885"/>
      <c r="I54" s="885"/>
      <c r="J54" s="885"/>
      <c r="K54" s="885"/>
      <c r="L54" s="885"/>
    </row>
    <row r="55" spans="4:12">
      <c r="D55" s="885"/>
      <c r="E55" s="885"/>
      <c r="F55" s="885"/>
      <c r="G55" s="885"/>
      <c r="H55" s="885"/>
      <c r="I55" s="885"/>
      <c r="J55" s="885"/>
      <c r="K55" s="885"/>
      <c r="L55" s="885"/>
    </row>
    <row r="56" spans="4:12">
      <c r="D56" s="885"/>
      <c r="E56" s="885"/>
      <c r="F56" s="885"/>
      <c r="G56" s="885"/>
      <c r="H56" s="885"/>
      <c r="I56" s="885"/>
      <c r="J56" s="885"/>
      <c r="K56" s="885"/>
      <c r="L56" s="885"/>
    </row>
    <row r="57" spans="4:12">
      <c r="D57" s="885"/>
      <c r="E57" s="885"/>
      <c r="F57" s="885"/>
      <c r="G57" s="885"/>
      <c r="H57" s="885"/>
      <c r="I57" s="885"/>
      <c r="J57" s="885"/>
      <c r="K57" s="885"/>
      <c r="L57" s="885"/>
    </row>
    <row r="58" spans="4:12">
      <c r="D58" s="885"/>
      <c r="E58" s="885"/>
      <c r="F58" s="885"/>
      <c r="G58" s="885"/>
      <c r="H58" s="885"/>
      <c r="I58" s="885"/>
      <c r="J58" s="885"/>
      <c r="K58" s="885"/>
      <c r="L58" s="885"/>
    </row>
    <row r="59" spans="4:12">
      <c r="D59" s="885"/>
      <c r="E59" s="885"/>
      <c r="F59" s="885"/>
      <c r="G59" s="885"/>
      <c r="H59" s="885"/>
      <c r="I59" s="885"/>
      <c r="J59" s="885"/>
      <c r="K59" s="885"/>
      <c r="L59" s="885"/>
    </row>
    <row r="60" spans="4:12">
      <c r="D60" s="885"/>
      <c r="E60" s="885"/>
      <c r="F60" s="885"/>
      <c r="G60" s="885"/>
      <c r="H60" s="885"/>
      <c r="I60" s="885"/>
      <c r="J60" s="885"/>
      <c r="K60" s="885"/>
      <c r="L60" s="885"/>
    </row>
    <row r="61" spans="4:12">
      <c r="D61" s="885"/>
      <c r="E61" s="885"/>
      <c r="F61" s="885"/>
      <c r="G61" s="885"/>
      <c r="H61" s="885"/>
      <c r="I61" s="885"/>
      <c r="J61" s="885"/>
      <c r="K61" s="885"/>
      <c r="L61" s="885"/>
    </row>
    <row r="62" spans="4:12">
      <c r="D62" s="885"/>
      <c r="E62" s="885"/>
      <c r="F62" s="885"/>
      <c r="G62" s="885"/>
      <c r="H62" s="885"/>
      <c r="I62" s="885"/>
      <c r="J62" s="885"/>
      <c r="K62" s="885"/>
      <c r="L62" s="885"/>
    </row>
    <row r="63" spans="4:12">
      <c r="D63" s="885"/>
      <c r="E63" s="885"/>
      <c r="F63" s="885"/>
      <c r="G63" s="885"/>
      <c r="H63" s="885"/>
      <c r="I63" s="885"/>
      <c r="J63" s="885"/>
      <c r="K63" s="885"/>
      <c r="L63" s="885"/>
    </row>
    <row r="64" spans="4:12">
      <c r="D64" s="885"/>
      <c r="E64" s="885"/>
      <c r="F64" s="885"/>
      <c r="G64" s="885"/>
      <c r="H64" s="885"/>
      <c r="I64" s="885"/>
      <c r="J64" s="885"/>
      <c r="K64" s="885"/>
      <c r="L64" s="885"/>
    </row>
    <row r="65" spans="4:12">
      <c r="D65" s="885"/>
      <c r="E65" s="885"/>
      <c r="F65" s="885"/>
      <c r="G65" s="885"/>
      <c r="H65" s="885"/>
      <c r="I65" s="885"/>
      <c r="J65" s="885"/>
      <c r="K65" s="885"/>
      <c r="L65" s="885"/>
    </row>
    <row r="66" spans="4:12">
      <c r="D66" s="885"/>
      <c r="E66" s="885"/>
      <c r="F66" s="885"/>
      <c r="G66" s="885"/>
      <c r="H66" s="885"/>
      <c r="I66" s="885"/>
      <c r="J66" s="885"/>
      <c r="K66" s="885"/>
      <c r="L66" s="885"/>
    </row>
    <row r="67" spans="4:12">
      <c r="D67" s="885"/>
      <c r="E67" s="885"/>
      <c r="F67" s="885"/>
      <c r="G67" s="885"/>
      <c r="H67" s="885"/>
      <c r="I67" s="885"/>
      <c r="J67" s="885"/>
      <c r="K67" s="885"/>
      <c r="L67" s="885"/>
    </row>
    <row r="68" spans="4:12">
      <c r="D68" s="885"/>
      <c r="E68" s="885"/>
      <c r="F68" s="885"/>
      <c r="G68" s="885"/>
      <c r="H68" s="885"/>
      <c r="I68" s="885"/>
      <c r="J68" s="885"/>
      <c r="K68" s="885"/>
      <c r="L68" s="885"/>
    </row>
  </sheetData>
  <mergeCells count="4">
    <mergeCell ref="A1:M1"/>
    <mergeCell ref="A2:M2"/>
    <mergeCell ref="A3:M3"/>
    <mergeCell ref="H6:L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7"/>
  <sheetViews>
    <sheetView topLeftCell="A210" workbookViewId="0">
      <selection activeCell="B225" sqref="B225"/>
    </sheetView>
  </sheetViews>
  <sheetFormatPr defaultColWidth="9" defaultRowHeight="21"/>
  <cols>
    <col min="1" max="1" width="5.875" style="280" customWidth="1"/>
    <col min="2" max="2" width="10.125" style="3" customWidth="1"/>
    <col min="3" max="3" width="29.375" style="3" customWidth="1"/>
    <col min="4" max="12" width="0" style="3" hidden="1" customWidth="1"/>
    <col min="13" max="13" width="13.125" style="3" customWidth="1"/>
    <col min="14" max="14" width="11" style="3" customWidth="1"/>
    <col min="15" max="15" width="10.25" style="3" customWidth="1"/>
    <col min="16" max="16" width="9.75" style="3" customWidth="1"/>
    <col min="17" max="17" width="8.875" style="3" customWidth="1"/>
    <col min="18" max="19" width="9.625" style="3" customWidth="1"/>
    <col min="20" max="20" width="10.875" style="3" customWidth="1"/>
    <col min="21" max="21" width="9.375" style="3" customWidth="1"/>
    <col min="22" max="22" width="10.25" style="3" customWidth="1"/>
    <col min="23" max="23" width="9.125" style="3" customWidth="1"/>
    <col min="24" max="24" width="9.25" style="3" customWidth="1"/>
    <col min="25" max="256" width="9" style="3"/>
    <col min="257" max="257" width="6.25" style="3" customWidth="1"/>
    <col min="258" max="258" width="10.125" style="3" customWidth="1"/>
    <col min="259" max="259" width="29.375" style="3" customWidth="1"/>
    <col min="260" max="268" width="0" style="3" hidden="1" customWidth="1"/>
    <col min="269" max="269" width="14.75" style="3" customWidth="1"/>
    <col min="270" max="270" width="11" style="3" customWidth="1"/>
    <col min="271" max="271" width="11.125" style="3" customWidth="1"/>
    <col min="272" max="272" width="9.75" style="3" customWidth="1"/>
    <col min="273" max="273" width="10.375" style="3" customWidth="1"/>
    <col min="274" max="275" width="9.625" style="3" customWidth="1"/>
    <col min="276" max="276" width="10.875" style="3" customWidth="1"/>
    <col min="277" max="277" width="9.375" style="3" customWidth="1"/>
    <col min="278" max="278" width="10.25" style="3" customWidth="1"/>
    <col min="279" max="279" width="9.75" style="3" customWidth="1"/>
    <col min="280" max="280" width="9.25" style="3" customWidth="1"/>
    <col min="281" max="512" width="9" style="3"/>
    <col min="513" max="513" width="6.25" style="3" customWidth="1"/>
    <col min="514" max="514" width="10.125" style="3" customWidth="1"/>
    <col min="515" max="515" width="29.375" style="3" customWidth="1"/>
    <col min="516" max="524" width="0" style="3" hidden="1" customWidth="1"/>
    <col min="525" max="525" width="14.75" style="3" customWidth="1"/>
    <col min="526" max="526" width="11" style="3" customWidth="1"/>
    <col min="527" max="527" width="11.125" style="3" customWidth="1"/>
    <col min="528" max="528" width="9.75" style="3" customWidth="1"/>
    <col min="529" max="529" width="10.375" style="3" customWidth="1"/>
    <col min="530" max="531" width="9.625" style="3" customWidth="1"/>
    <col min="532" max="532" width="10.875" style="3" customWidth="1"/>
    <col min="533" max="533" width="9.375" style="3" customWidth="1"/>
    <col min="534" max="534" width="10.25" style="3" customWidth="1"/>
    <col min="535" max="535" width="9.75" style="3" customWidth="1"/>
    <col min="536" max="536" width="9.25" style="3" customWidth="1"/>
    <col min="537" max="768" width="9" style="3"/>
    <col min="769" max="769" width="6.25" style="3" customWidth="1"/>
    <col min="770" max="770" width="10.125" style="3" customWidth="1"/>
    <col min="771" max="771" width="29.375" style="3" customWidth="1"/>
    <col min="772" max="780" width="0" style="3" hidden="1" customWidth="1"/>
    <col min="781" max="781" width="14.75" style="3" customWidth="1"/>
    <col min="782" max="782" width="11" style="3" customWidth="1"/>
    <col min="783" max="783" width="11.125" style="3" customWidth="1"/>
    <col min="784" max="784" width="9.75" style="3" customWidth="1"/>
    <col min="785" max="785" width="10.375" style="3" customWidth="1"/>
    <col min="786" max="787" width="9.625" style="3" customWidth="1"/>
    <col min="788" max="788" width="10.875" style="3" customWidth="1"/>
    <col min="789" max="789" width="9.375" style="3" customWidth="1"/>
    <col min="790" max="790" width="10.25" style="3" customWidth="1"/>
    <col min="791" max="791" width="9.75" style="3" customWidth="1"/>
    <col min="792" max="792" width="9.25" style="3" customWidth="1"/>
    <col min="793" max="1024" width="9" style="3"/>
    <col min="1025" max="1025" width="6.25" style="3" customWidth="1"/>
    <col min="1026" max="1026" width="10.125" style="3" customWidth="1"/>
    <col min="1027" max="1027" width="29.375" style="3" customWidth="1"/>
    <col min="1028" max="1036" width="0" style="3" hidden="1" customWidth="1"/>
    <col min="1037" max="1037" width="14.75" style="3" customWidth="1"/>
    <col min="1038" max="1038" width="11" style="3" customWidth="1"/>
    <col min="1039" max="1039" width="11.125" style="3" customWidth="1"/>
    <col min="1040" max="1040" width="9.75" style="3" customWidth="1"/>
    <col min="1041" max="1041" width="10.375" style="3" customWidth="1"/>
    <col min="1042" max="1043" width="9.625" style="3" customWidth="1"/>
    <col min="1044" max="1044" width="10.875" style="3" customWidth="1"/>
    <col min="1045" max="1045" width="9.375" style="3" customWidth="1"/>
    <col min="1046" max="1046" width="10.25" style="3" customWidth="1"/>
    <col min="1047" max="1047" width="9.75" style="3" customWidth="1"/>
    <col min="1048" max="1048" width="9.25" style="3" customWidth="1"/>
    <col min="1049" max="1280" width="9" style="3"/>
    <col min="1281" max="1281" width="6.25" style="3" customWidth="1"/>
    <col min="1282" max="1282" width="10.125" style="3" customWidth="1"/>
    <col min="1283" max="1283" width="29.375" style="3" customWidth="1"/>
    <col min="1284" max="1292" width="0" style="3" hidden="1" customWidth="1"/>
    <col min="1293" max="1293" width="14.75" style="3" customWidth="1"/>
    <col min="1294" max="1294" width="11" style="3" customWidth="1"/>
    <col min="1295" max="1295" width="11.125" style="3" customWidth="1"/>
    <col min="1296" max="1296" width="9.75" style="3" customWidth="1"/>
    <col min="1297" max="1297" width="10.375" style="3" customWidth="1"/>
    <col min="1298" max="1299" width="9.625" style="3" customWidth="1"/>
    <col min="1300" max="1300" width="10.875" style="3" customWidth="1"/>
    <col min="1301" max="1301" width="9.375" style="3" customWidth="1"/>
    <col min="1302" max="1302" width="10.25" style="3" customWidth="1"/>
    <col min="1303" max="1303" width="9.75" style="3" customWidth="1"/>
    <col min="1304" max="1304" width="9.25" style="3" customWidth="1"/>
    <col min="1305" max="1536" width="9" style="3"/>
    <col min="1537" max="1537" width="6.25" style="3" customWidth="1"/>
    <col min="1538" max="1538" width="10.125" style="3" customWidth="1"/>
    <col min="1539" max="1539" width="29.375" style="3" customWidth="1"/>
    <col min="1540" max="1548" width="0" style="3" hidden="1" customWidth="1"/>
    <col min="1549" max="1549" width="14.75" style="3" customWidth="1"/>
    <col min="1550" max="1550" width="11" style="3" customWidth="1"/>
    <col min="1551" max="1551" width="11.125" style="3" customWidth="1"/>
    <col min="1552" max="1552" width="9.75" style="3" customWidth="1"/>
    <col min="1553" max="1553" width="10.375" style="3" customWidth="1"/>
    <col min="1554" max="1555" width="9.625" style="3" customWidth="1"/>
    <col min="1556" max="1556" width="10.875" style="3" customWidth="1"/>
    <col min="1557" max="1557" width="9.375" style="3" customWidth="1"/>
    <col min="1558" max="1558" width="10.25" style="3" customWidth="1"/>
    <col min="1559" max="1559" width="9.75" style="3" customWidth="1"/>
    <col min="1560" max="1560" width="9.25" style="3" customWidth="1"/>
    <col min="1561" max="1792" width="9" style="3"/>
    <col min="1793" max="1793" width="6.25" style="3" customWidth="1"/>
    <col min="1794" max="1794" width="10.125" style="3" customWidth="1"/>
    <col min="1795" max="1795" width="29.375" style="3" customWidth="1"/>
    <col min="1796" max="1804" width="0" style="3" hidden="1" customWidth="1"/>
    <col min="1805" max="1805" width="14.75" style="3" customWidth="1"/>
    <col min="1806" max="1806" width="11" style="3" customWidth="1"/>
    <col min="1807" max="1807" width="11.125" style="3" customWidth="1"/>
    <col min="1808" max="1808" width="9.75" style="3" customWidth="1"/>
    <col min="1809" max="1809" width="10.375" style="3" customWidth="1"/>
    <col min="1810" max="1811" width="9.625" style="3" customWidth="1"/>
    <col min="1812" max="1812" width="10.875" style="3" customWidth="1"/>
    <col min="1813" max="1813" width="9.375" style="3" customWidth="1"/>
    <col min="1814" max="1814" width="10.25" style="3" customWidth="1"/>
    <col min="1815" max="1815" width="9.75" style="3" customWidth="1"/>
    <col min="1816" max="1816" width="9.25" style="3" customWidth="1"/>
    <col min="1817" max="2048" width="9" style="3"/>
    <col min="2049" max="2049" width="6.25" style="3" customWidth="1"/>
    <col min="2050" max="2050" width="10.125" style="3" customWidth="1"/>
    <col min="2051" max="2051" width="29.375" style="3" customWidth="1"/>
    <col min="2052" max="2060" width="0" style="3" hidden="1" customWidth="1"/>
    <col min="2061" max="2061" width="14.75" style="3" customWidth="1"/>
    <col min="2062" max="2062" width="11" style="3" customWidth="1"/>
    <col min="2063" max="2063" width="11.125" style="3" customWidth="1"/>
    <col min="2064" max="2064" width="9.75" style="3" customWidth="1"/>
    <col min="2065" max="2065" width="10.375" style="3" customWidth="1"/>
    <col min="2066" max="2067" width="9.625" style="3" customWidth="1"/>
    <col min="2068" max="2068" width="10.875" style="3" customWidth="1"/>
    <col min="2069" max="2069" width="9.375" style="3" customWidth="1"/>
    <col min="2070" max="2070" width="10.25" style="3" customWidth="1"/>
    <col min="2071" max="2071" width="9.75" style="3" customWidth="1"/>
    <col min="2072" max="2072" width="9.25" style="3" customWidth="1"/>
    <col min="2073" max="2304" width="9" style="3"/>
    <col min="2305" max="2305" width="6.25" style="3" customWidth="1"/>
    <col min="2306" max="2306" width="10.125" style="3" customWidth="1"/>
    <col min="2307" max="2307" width="29.375" style="3" customWidth="1"/>
    <col min="2308" max="2316" width="0" style="3" hidden="1" customWidth="1"/>
    <col min="2317" max="2317" width="14.75" style="3" customWidth="1"/>
    <col min="2318" max="2318" width="11" style="3" customWidth="1"/>
    <col min="2319" max="2319" width="11.125" style="3" customWidth="1"/>
    <col min="2320" max="2320" width="9.75" style="3" customWidth="1"/>
    <col min="2321" max="2321" width="10.375" style="3" customWidth="1"/>
    <col min="2322" max="2323" width="9.625" style="3" customWidth="1"/>
    <col min="2324" max="2324" width="10.875" style="3" customWidth="1"/>
    <col min="2325" max="2325" width="9.375" style="3" customWidth="1"/>
    <col min="2326" max="2326" width="10.25" style="3" customWidth="1"/>
    <col min="2327" max="2327" width="9.75" style="3" customWidth="1"/>
    <col min="2328" max="2328" width="9.25" style="3" customWidth="1"/>
    <col min="2329" max="2560" width="9" style="3"/>
    <col min="2561" max="2561" width="6.25" style="3" customWidth="1"/>
    <col min="2562" max="2562" width="10.125" style="3" customWidth="1"/>
    <col min="2563" max="2563" width="29.375" style="3" customWidth="1"/>
    <col min="2564" max="2572" width="0" style="3" hidden="1" customWidth="1"/>
    <col min="2573" max="2573" width="14.75" style="3" customWidth="1"/>
    <col min="2574" max="2574" width="11" style="3" customWidth="1"/>
    <col min="2575" max="2575" width="11.125" style="3" customWidth="1"/>
    <col min="2576" max="2576" width="9.75" style="3" customWidth="1"/>
    <col min="2577" max="2577" width="10.375" style="3" customWidth="1"/>
    <col min="2578" max="2579" width="9.625" style="3" customWidth="1"/>
    <col min="2580" max="2580" width="10.875" style="3" customWidth="1"/>
    <col min="2581" max="2581" width="9.375" style="3" customWidth="1"/>
    <col min="2582" max="2582" width="10.25" style="3" customWidth="1"/>
    <col min="2583" max="2583" width="9.75" style="3" customWidth="1"/>
    <col min="2584" max="2584" width="9.25" style="3" customWidth="1"/>
    <col min="2585" max="2816" width="9" style="3"/>
    <col min="2817" max="2817" width="6.25" style="3" customWidth="1"/>
    <col min="2818" max="2818" width="10.125" style="3" customWidth="1"/>
    <col min="2819" max="2819" width="29.375" style="3" customWidth="1"/>
    <col min="2820" max="2828" width="0" style="3" hidden="1" customWidth="1"/>
    <col min="2829" max="2829" width="14.75" style="3" customWidth="1"/>
    <col min="2830" max="2830" width="11" style="3" customWidth="1"/>
    <col min="2831" max="2831" width="11.125" style="3" customWidth="1"/>
    <col min="2832" max="2832" width="9.75" style="3" customWidth="1"/>
    <col min="2833" max="2833" width="10.375" style="3" customWidth="1"/>
    <col min="2834" max="2835" width="9.625" style="3" customWidth="1"/>
    <col min="2836" max="2836" width="10.875" style="3" customWidth="1"/>
    <col min="2837" max="2837" width="9.375" style="3" customWidth="1"/>
    <col min="2838" max="2838" width="10.25" style="3" customWidth="1"/>
    <col min="2839" max="2839" width="9.75" style="3" customWidth="1"/>
    <col min="2840" max="2840" width="9.25" style="3" customWidth="1"/>
    <col min="2841" max="3072" width="9" style="3"/>
    <col min="3073" max="3073" width="6.25" style="3" customWidth="1"/>
    <col min="3074" max="3074" width="10.125" style="3" customWidth="1"/>
    <col min="3075" max="3075" width="29.375" style="3" customWidth="1"/>
    <col min="3076" max="3084" width="0" style="3" hidden="1" customWidth="1"/>
    <col min="3085" max="3085" width="14.75" style="3" customWidth="1"/>
    <col min="3086" max="3086" width="11" style="3" customWidth="1"/>
    <col min="3087" max="3087" width="11.125" style="3" customWidth="1"/>
    <col min="3088" max="3088" width="9.75" style="3" customWidth="1"/>
    <col min="3089" max="3089" width="10.375" style="3" customWidth="1"/>
    <col min="3090" max="3091" width="9.625" style="3" customWidth="1"/>
    <col min="3092" max="3092" width="10.875" style="3" customWidth="1"/>
    <col min="3093" max="3093" width="9.375" style="3" customWidth="1"/>
    <col min="3094" max="3094" width="10.25" style="3" customWidth="1"/>
    <col min="3095" max="3095" width="9.75" style="3" customWidth="1"/>
    <col min="3096" max="3096" width="9.25" style="3" customWidth="1"/>
    <col min="3097" max="3328" width="9" style="3"/>
    <col min="3329" max="3329" width="6.25" style="3" customWidth="1"/>
    <col min="3330" max="3330" width="10.125" style="3" customWidth="1"/>
    <col min="3331" max="3331" width="29.375" style="3" customWidth="1"/>
    <col min="3332" max="3340" width="0" style="3" hidden="1" customWidth="1"/>
    <col min="3341" max="3341" width="14.75" style="3" customWidth="1"/>
    <col min="3342" max="3342" width="11" style="3" customWidth="1"/>
    <col min="3343" max="3343" width="11.125" style="3" customWidth="1"/>
    <col min="3344" max="3344" width="9.75" style="3" customWidth="1"/>
    <col min="3345" max="3345" width="10.375" style="3" customWidth="1"/>
    <col min="3346" max="3347" width="9.625" style="3" customWidth="1"/>
    <col min="3348" max="3348" width="10.875" style="3" customWidth="1"/>
    <col min="3349" max="3349" width="9.375" style="3" customWidth="1"/>
    <col min="3350" max="3350" width="10.25" style="3" customWidth="1"/>
    <col min="3351" max="3351" width="9.75" style="3" customWidth="1"/>
    <col min="3352" max="3352" width="9.25" style="3" customWidth="1"/>
    <col min="3353" max="3584" width="9" style="3"/>
    <col min="3585" max="3585" width="6.25" style="3" customWidth="1"/>
    <col min="3586" max="3586" width="10.125" style="3" customWidth="1"/>
    <col min="3587" max="3587" width="29.375" style="3" customWidth="1"/>
    <col min="3588" max="3596" width="0" style="3" hidden="1" customWidth="1"/>
    <col min="3597" max="3597" width="14.75" style="3" customWidth="1"/>
    <col min="3598" max="3598" width="11" style="3" customWidth="1"/>
    <col min="3599" max="3599" width="11.125" style="3" customWidth="1"/>
    <col min="3600" max="3600" width="9.75" style="3" customWidth="1"/>
    <col min="3601" max="3601" width="10.375" style="3" customWidth="1"/>
    <col min="3602" max="3603" width="9.625" style="3" customWidth="1"/>
    <col min="3604" max="3604" width="10.875" style="3" customWidth="1"/>
    <col min="3605" max="3605" width="9.375" style="3" customWidth="1"/>
    <col min="3606" max="3606" width="10.25" style="3" customWidth="1"/>
    <col min="3607" max="3607" width="9.75" style="3" customWidth="1"/>
    <col min="3608" max="3608" width="9.25" style="3" customWidth="1"/>
    <col min="3609" max="3840" width="9" style="3"/>
    <col min="3841" max="3841" width="6.25" style="3" customWidth="1"/>
    <col min="3842" max="3842" width="10.125" style="3" customWidth="1"/>
    <col min="3843" max="3843" width="29.375" style="3" customWidth="1"/>
    <col min="3844" max="3852" width="0" style="3" hidden="1" customWidth="1"/>
    <col min="3853" max="3853" width="14.75" style="3" customWidth="1"/>
    <col min="3854" max="3854" width="11" style="3" customWidth="1"/>
    <col min="3855" max="3855" width="11.125" style="3" customWidth="1"/>
    <col min="3856" max="3856" width="9.75" style="3" customWidth="1"/>
    <col min="3857" max="3857" width="10.375" style="3" customWidth="1"/>
    <col min="3858" max="3859" width="9.625" style="3" customWidth="1"/>
    <col min="3860" max="3860" width="10.875" style="3" customWidth="1"/>
    <col min="3861" max="3861" width="9.375" style="3" customWidth="1"/>
    <col min="3862" max="3862" width="10.25" style="3" customWidth="1"/>
    <col min="3863" max="3863" width="9.75" style="3" customWidth="1"/>
    <col min="3864" max="3864" width="9.25" style="3" customWidth="1"/>
    <col min="3865" max="4096" width="9" style="3"/>
    <col min="4097" max="4097" width="6.25" style="3" customWidth="1"/>
    <col min="4098" max="4098" width="10.125" style="3" customWidth="1"/>
    <col min="4099" max="4099" width="29.375" style="3" customWidth="1"/>
    <col min="4100" max="4108" width="0" style="3" hidden="1" customWidth="1"/>
    <col min="4109" max="4109" width="14.75" style="3" customWidth="1"/>
    <col min="4110" max="4110" width="11" style="3" customWidth="1"/>
    <col min="4111" max="4111" width="11.125" style="3" customWidth="1"/>
    <col min="4112" max="4112" width="9.75" style="3" customWidth="1"/>
    <col min="4113" max="4113" width="10.375" style="3" customWidth="1"/>
    <col min="4114" max="4115" width="9.625" style="3" customWidth="1"/>
    <col min="4116" max="4116" width="10.875" style="3" customWidth="1"/>
    <col min="4117" max="4117" width="9.375" style="3" customWidth="1"/>
    <col min="4118" max="4118" width="10.25" style="3" customWidth="1"/>
    <col min="4119" max="4119" width="9.75" style="3" customWidth="1"/>
    <col min="4120" max="4120" width="9.25" style="3" customWidth="1"/>
    <col min="4121" max="4352" width="9" style="3"/>
    <col min="4353" max="4353" width="6.25" style="3" customWidth="1"/>
    <col min="4354" max="4354" width="10.125" style="3" customWidth="1"/>
    <col min="4355" max="4355" width="29.375" style="3" customWidth="1"/>
    <col min="4356" max="4364" width="0" style="3" hidden="1" customWidth="1"/>
    <col min="4365" max="4365" width="14.75" style="3" customWidth="1"/>
    <col min="4366" max="4366" width="11" style="3" customWidth="1"/>
    <col min="4367" max="4367" width="11.125" style="3" customWidth="1"/>
    <col min="4368" max="4368" width="9.75" style="3" customWidth="1"/>
    <col min="4369" max="4369" width="10.375" style="3" customWidth="1"/>
    <col min="4370" max="4371" width="9.625" style="3" customWidth="1"/>
    <col min="4372" max="4372" width="10.875" style="3" customWidth="1"/>
    <col min="4373" max="4373" width="9.375" style="3" customWidth="1"/>
    <col min="4374" max="4374" width="10.25" style="3" customWidth="1"/>
    <col min="4375" max="4375" width="9.75" style="3" customWidth="1"/>
    <col min="4376" max="4376" width="9.25" style="3" customWidth="1"/>
    <col min="4377" max="4608" width="9" style="3"/>
    <col min="4609" max="4609" width="6.25" style="3" customWidth="1"/>
    <col min="4610" max="4610" width="10.125" style="3" customWidth="1"/>
    <col min="4611" max="4611" width="29.375" style="3" customWidth="1"/>
    <col min="4612" max="4620" width="0" style="3" hidden="1" customWidth="1"/>
    <col min="4621" max="4621" width="14.75" style="3" customWidth="1"/>
    <col min="4622" max="4622" width="11" style="3" customWidth="1"/>
    <col min="4623" max="4623" width="11.125" style="3" customWidth="1"/>
    <col min="4624" max="4624" width="9.75" style="3" customWidth="1"/>
    <col min="4625" max="4625" width="10.375" style="3" customWidth="1"/>
    <col min="4626" max="4627" width="9.625" style="3" customWidth="1"/>
    <col min="4628" max="4628" width="10.875" style="3" customWidth="1"/>
    <col min="4629" max="4629" width="9.375" style="3" customWidth="1"/>
    <col min="4630" max="4630" width="10.25" style="3" customWidth="1"/>
    <col min="4631" max="4631" width="9.75" style="3" customWidth="1"/>
    <col min="4632" max="4632" width="9.25" style="3" customWidth="1"/>
    <col min="4633" max="4864" width="9" style="3"/>
    <col min="4865" max="4865" width="6.25" style="3" customWidth="1"/>
    <col min="4866" max="4866" width="10.125" style="3" customWidth="1"/>
    <col min="4867" max="4867" width="29.375" style="3" customWidth="1"/>
    <col min="4868" max="4876" width="0" style="3" hidden="1" customWidth="1"/>
    <col min="4877" max="4877" width="14.75" style="3" customWidth="1"/>
    <col min="4878" max="4878" width="11" style="3" customWidth="1"/>
    <col min="4879" max="4879" width="11.125" style="3" customWidth="1"/>
    <col min="4880" max="4880" width="9.75" style="3" customWidth="1"/>
    <col min="4881" max="4881" width="10.375" style="3" customWidth="1"/>
    <col min="4882" max="4883" width="9.625" style="3" customWidth="1"/>
    <col min="4884" max="4884" width="10.875" style="3" customWidth="1"/>
    <col min="4885" max="4885" width="9.375" style="3" customWidth="1"/>
    <col min="4886" max="4886" width="10.25" style="3" customWidth="1"/>
    <col min="4887" max="4887" width="9.75" style="3" customWidth="1"/>
    <col min="4888" max="4888" width="9.25" style="3" customWidth="1"/>
    <col min="4889" max="5120" width="9" style="3"/>
    <col min="5121" max="5121" width="6.25" style="3" customWidth="1"/>
    <col min="5122" max="5122" width="10.125" style="3" customWidth="1"/>
    <col min="5123" max="5123" width="29.375" style="3" customWidth="1"/>
    <col min="5124" max="5132" width="0" style="3" hidden="1" customWidth="1"/>
    <col min="5133" max="5133" width="14.75" style="3" customWidth="1"/>
    <col min="5134" max="5134" width="11" style="3" customWidth="1"/>
    <col min="5135" max="5135" width="11.125" style="3" customWidth="1"/>
    <col min="5136" max="5136" width="9.75" style="3" customWidth="1"/>
    <col min="5137" max="5137" width="10.375" style="3" customWidth="1"/>
    <col min="5138" max="5139" width="9.625" style="3" customWidth="1"/>
    <col min="5140" max="5140" width="10.875" style="3" customWidth="1"/>
    <col min="5141" max="5141" width="9.375" style="3" customWidth="1"/>
    <col min="5142" max="5142" width="10.25" style="3" customWidth="1"/>
    <col min="5143" max="5143" width="9.75" style="3" customWidth="1"/>
    <col min="5144" max="5144" width="9.25" style="3" customWidth="1"/>
    <col min="5145" max="5376" width="9" style="3"/>
    <col min="5377" max="5377" width="6.25" style="3" customWidth="1"/>
    <col min="5378" max="5378" width="10.125" style="3" customWidth="1"/>
    <col min="5379" max="5379" width="29.375" style="3" customWidth="1"/>
    <col min="5380" max="5388" width="0" style="3" hidden="1" customWidth="1"/>
    <col min="5389" max="5389" width="14.75" style="3" customWidth="1"/>
    <col min="5390" max="5390" width="11" style="3" customWidth="1"/>
    <col min="5391" max="5391" width="11.125" style="3" customWidth="1"/>
    <col min="5392" max="5392" width="9.75" style="3" customWidth="1"/>
    <col min="5393" max="5393" width="10.375" style="3" customWidth="1"/>
    <col min="5394" max="5395" width="9.625" style="3" customWidth="1"/>
    <col min="5396" max="5396" width="10.875" style="3" customWidth="1"/>
    <col min="5397" max="5397" width="9.375" style="3" customWidth="1"/>
    <col min="5398" max="5398" width="10.25" style="3" customWidth="1"/>
    <col min="5399" max="5399" width="9.75" style="3" customWidth="1"/>
    <col min="5400" max="5400" width="9.25" style="3" customWidth="1"/>
    <col min="5401" max="5632" width="9" style="3"/>
    <col min="5633" max="5633" width="6.25" style="3" customWidth="1"/>
    <col min="5634" max="5634" width="10.125" style="3" customWidth="1"/>
    <col min="5635" max="5635" width="29.375" style="3" customWidth="1"/>
    <col min="5636" max="5644" width="0" style="3" hidden="1" customWidth="1"/>
    <col min="5645" max="5645" width="14.75" style="3" customWidth="1"/>
    <col min="5646" max="5646" width="11" style="3" customWidth="1"/>
    <col min="5647" max="5647" width="11.125" style="3" customWidth="1"/>
    <col min="5648" max="5648" width="9.75" style="3" customWidth="1"/>
    <col min="5649" max="5649" width="10.375" style="3" customWidth="1"/>
    <col min="5650" max="5651" width="9.625" style="3" customWidth="1"/>
    <col min="5652" max="5652" width="10.875" style="3" customWidth="1"/>
    <col min="5653" max="5653" width="9.375" style="3" customWidth="1"/>
    <col min="5654" max="5654" width="10.25" style="3" customWidth="1"/>
    <col min="5655" max="5655" width="9.75" style="3" customWidth="1"/>
    <col min="5656" max="5656" width="9.25" style="3" customWidth="1"/>
    <col min="5657" max="5888" width="9" style="3"/>
    <col min="5889" max="5889" width="6.25" style="3" customWidth="1"/>
    <col min="5890" max="5890" width="10.125" style="3" customWidth="1"/>
    <col min="5891" max="5891" width="29.375" style="3" customWidth="1"/>
    <col min="5892" max="5900" width="0" style="3" hidden="1" customWidth="1"/>
    <col min="5901" max="5901" width="14.75" style="3" customWidth="1"/>
    <col min="5902" max="5902" width="11" style="3" customWidth="1"/>
    <col min="5903" max="5903" width="11.125" style="3" customWidth="1"/>
    <col min="5904" max="5904" width="9.75" style="3" customWidth="1"/>
    <col min="5905" max="5905" width="10.375" style="3" customWidth="1"/>
    <col min="5906" max="5907" width="9.625" style="3" customWidth="1"/>
    <col min="5908" max="5908" width="10.875" style="3" customWidth="1"/>
    <col min="5909" max="5909" width="9.375" style="3" customWidth="1"/>
    <col min="5910" max="5910" width="10.25" style="3" customWidth="1"/>
    <col min="5911" max="5911" width="9.75" style="3" customWidth="1"/>
    <col min="5912" max="5912" width="9.25" style="3" customWidth="1"/>
    <col min="5913" max="6144" width="9" style="3"/>
    <col min="6145" max="6145" width="6.25" style="3" customWidth="1"/>
    <col min="6146" max="6146" width="10.125" style="3" customWidth="1"/>
    <col min="6147" max="6147" width="29.375" style="3" customWidth="1"/>
    <col min="6148" max="6156" width="0" style="3" hidden="1" customWidth="1"/>
    <col min="6157" max="6157" width="14.75" style="3" customWidth="1"/>
    <col min="6158" max="6158" width="11" style="3" customWidth="1"/>
    <col min="6159" max="6159" width="11.125" style="3" customWidth="1"/>
    <col min="6160" max="6160" width="9.75" style="3" customWidth="1"/>
    <col min="6161" max="6161" width="10.375" style="3" customWidth="1"/>
    <col min="6162" max="6163" width="9.625" style="3" customWidth="1"/>
    <col min="6164" max="6164" width="10.875" style="3" customWidth="1"/>
    <col min="6165" max="6165" width="9.375" style="3" customWidth="1"/>
    <col min="6166" max="6166" width="10.25" style="3" customWidth="1"/>
    <col min="6167" max="6167" width="9.75" style="3" customWidth="1"/>
    <col min="6168" max="6168" width="9.25" style="3" customWidth="1"/>
    <col min="6169" max="6400" width="9" style="3"/>
    <col min="6401" max="6401" width="6.25" style="3" customWidth="1"/>
    <col min="6402" max="6402" width="10.125" style="3" customWidth="1"/>
    <col min="6403" max="6403" width="29.375" style="3" customWidth="1"/>
    <col min="6404" max="6412" width="0" style="3" hidden="1" customWidth="1"/>
    <col min="6413" max="6413" width="14.75" style="3" customWidth="1"/>
    <col min="6414" max="6414" width="11" style="3" customWidth="1"/>
    <col min="6415" max="6415" width="11.125" style="3" customWidth="1"/>
    <col min="6416" max="6416" width="9.75" style="3" customWidth="1"/>
    <col min="6417" max="6417" width="10.375" style="3" customWidth="1"/>
    <col min="6418" max="6419" width="9.625" style="3" customWidth="1"/>
    <col min="6420" max="6420" width="10.875" style="3" customWidth="1"/>
    <col min="6421" max="6421" width="9.375" style="3" customWidth="1"/>
    <col min="6422" max="6422" width="10.25" style="3" customWidth="1"/>
    <col min="6423" max="6423" width="9.75" style="3" customWidth="1"/>
    <col min="6424" max="6424" width="9.25" style="3" customWidth="1"/>
    <col min="6425" max="6656" width="9" style="3"/>
    <col min="6657" max="6657" width="6.25" style="3" customWidth="1"/>
    <col min="6658" max="6658" width="10.125" style="3" customWidth="1"/>
    <col min="6659" max="6659" width="29.375" style="3" customWidth="1"/>
    <col min="6660" max="6668" width="0" style="3" hidden="1" customWidth="1"/>
    <col min="6669" max="6669" width="14.75" style="3" customWidth="1"/>
    <col min="6670" max="6670" width="11" style="3" customWidth="1"/>
    <col min="6671" max="6671" width="11.125" style="3" customWidth="1"/>
    <col min="6672" max="6672" width="9.75" style="3" customWidth="1"/>
    <col min="6673" max="6673" width="10.375" style="3" customWidth="1"/>
    <col min="6674" max="6675" width="9.625" style="3" customWidth="1"/>
    <col min="6676" max="6676" width="10.875" style="3" customWidth="1"/>
    <col min="6677" max="6677" width="9.375" style="3" customWidth="1"/>
    <col min="6678" max="6678" width="10.25" style="3" customWidth="1"/>
    <col min="6679" max="6679" width="9.75" style="3" customWidth="1"/>
    <col min="6680" max="6680" width="9.25" style="3" customWidth="1"/>
    <col min="6681" max="6912" width="9" style="3"/>
    <col min="6913" max="6913" width="6.25" style="3" customWidth="1"/>
    <col min="6914" max="6914" width="10.125" style="3" customWidth="1"/>
    <col min="6915" max="6915" width="29.375" style="3" customWidth="1"/>
    <col min="6916" max="6924" width="0" style="3" hidden="1" customWidth="1"/>
    <col min="6925" max="6925" width="14.75" style="3" customWidth="1"/>
    <col min="6926" max="6926" width="11" style="3" customWidth="1"/>
    <col min="6927" max="6927" width="11.125" style="3" customWidth="1"/>
    <col min="6928" max="6928" width="9.75" style="3" customWidth="1"/>
    <col min="6929" max="6929" width="10.375" style="3" customWidth="1"/>
    <col min="6930" max="6931" width="9.625" style="3" customWidth="1"/>
    <col min="6932" max="6932" width="10.875" style="3" customWidth="1"/>
    <col min="6933" max="6933" width="9.375" style="3" customWidth="1"/>
    <col min="6934" max="6934" width="10.25" style="3" customWidth="1"/>
    <col min="6935" max="6935" width="9.75" style="3" customWidth="1"/>
    <col min="6936" max="6936" width="9.25" style="3" customWidth="1"/>
    <col min="6937" max="7168" width="9" style="3"/>
    <col min="7169" max="7169" width="6.25" style="3" customWidth="1"/>
    <col min="7170" max="7170" width="10.125" style="3" customWidth="1"/>
    <col min="7171" max="7171" width="29.375" style="3" customWidth="1"/>
    <col min="7172" max="7180" width="0" style="3" hidden="1" customWidth="1"/>
    <col min="7181" max="7181" width="14.75" style="3" customWidth="1"/>
    <col min="7182" max="7182" width="11" style="3" customWidth="1"/>
    <col min="7183" max="7183" width="11.125" style="3" customWidth="1"/>
    <col min="7184" max="7184" width="9.75" style="3" customWidth="1"/>
    <col min="7185" max="7185" width="10.375" style="3" customWidth="1"/>
    <col min="7186" max="7187" width="9.625" style="3" customWidth="1"/>
    <col min="7188" max="7188" width="10.875" style="3" customWidth="1"/>
    <col min="7189" max="7189" width="9.375" style="3" customWidth="1"/>
    <col min="7190" max="7190" width="10.25" style="3" customWidth="1"/>
    <col min="7191" max="7191" width="9.75" style="3" customWidth="1"/>
    <col min="7192" max="7192" width="9.25" style="3" customWidth="1"/>
    <col min="7193" max="7424" width="9" style="3"/>
    <col min="7425" max="7425" width="6.25" style="3" customWidth="1"/>
    <col min="7426" max="7426" width="10.125" style="3" customWidth="1"/>
    <col min="7427" max="7427" width="29.375" style="3" customWidth="1"/>
    <col min="7428" max="7436" width="0" style="3" hidden="1" customWidth="1"/>
    <col min="7437" max="7437" width="14.75" style="3" customWidth="1"/>
    <col min="7438" max="7438" width="11" style="3" customWidth="1"/>
    <col min="7439" max="7439" width="11.125" style="3" customWidth="1"/>
    <col min="7440" max="7440" width="9.75" style="3" customWidth="1"/>
    <col min="7441" max="7441" width="10.375" style="3" customWidth="1"/>
    <col min="7442" max="7443" width="9.625" style="3" customWidth="1"/>
    <col min="7444" max="7444" width="10.875" style="3" customWidth="1"/>
    <col min="7445" max="7445" width="9.375" style="3" customWidth="1"/>
    <col min="7446" max="7446" width="10.25" style="3" customWidth="1"/>
    <col min="7447" max="7447" width="9.75" style="3" customWidth="1"/>
    <col min="7448" max="7448" width="9.25" style="3" customWidth="1"/>
    <col min="7449" max="7680" width="9" style="3"/>
    <col min="7681" max="7681" width="6.25" style="3" customWidth="1"/>
    <col min="7682" max="7682" width="10.125" style="3" customWidth="1"/>
    <col min="7683" max="7683" width="29.375" style="3" customWidth="1"/>
    <col min="7684" max="7692" width="0" style="3" hidden="1" customWidth="1"/>
    <col min="7693" max="7693" width="14.75" style="3" customWidth="1"/>
    <col min="7694" max="7694" width="11" style="3" customWidth="1"/>
    <col min="7695" max="7695" width="11.125" style="3" customWidth="1"/>
    <col min="7696" max="7696" width="9.75" style="3" customWidth="1"/>
    <col min="7697" max="7697" width="10.375" style="3" customWidth="1"/>
    <col min="7698" max="7699" width="9.625" style="3" customWidth="1"/>
    <col min="7700" max="7700" width="10.875" style="3" customWidth="1"/>
    <col min="7701" max="7701" width="9.375" style="3" customWidth="1"/>
    <col min="7702" max="7702" width="10.25" style="3" customWidth="1"/>
    <col min="7703" max="7703" width="9.75" style="3" customWidth="1"/>
    <col min="7704" max="7704" width="9.25" style="3" customWidth="1"/>
    <col min="7705" max="7936" width="9" style="3"/>
    <col min="7937" max="7937" width="6.25" style="3" customWidth="1"/>
    <col min="7938" max="7938" width="10.125" style="3" customWidth="1"/>
    <col min="7939" max="7939" width="29.375" style="3" customWidth="1"/>
    <col min="7940" max="7948" width="0" style="3" hidden="1" customWidth="1"/>
    <col min="7949" max="7949" width="14.75" style="3" customWidth="1"/>
    <col min="7950" max="7950" width="11" style="3" customWidth="1"/>
    <col min="7951" max="7951" width="11.125" style="3" customWidth="1"/>
    <col min="7952" max="7952" width="9.75" style="3" customWidth="1"/>
    <col min="7953" max="7953" width="10.375" style="3" customWidth="1"/>
    <col min="7954" max="7955" width="9.625" style="3" customWidth="1"/>
    <col min="7956" max="7956" width="10.875" style="3" customWidth="1"/>
    <col min="7957" max="7957" width="9.375" style="3" customWidth="1"/>
    <col min="7958" max="7958" width="10.25" style="3" customWidth="1"/>
    <col min="7959" max="7959" width="9.75" style="3" customWidth="1"/>
    <col min="7960" max="7960" width="9.25" style="3" customWidth="1"/>
    <col min="7961" max="8192" width="9" style="3"/>
    <col min="8193" max="8193" width="6.25" style="3" customWidth="1"/>
    <col min="8194" max="8194" width="10.125" style="3" customWidth="1"/>
    <col min="8195" max="8195" width="29.375" style="3" customWidth="1"/>
    <col min="8196" max="8204" width="0" style="3" hidden="1" customWidth="1"/>
    <col min="8205" max="8205" width="14.75" style="3" customWidth="1"/>
    <col min="8206" max="8206" width="11" style="3" customWidth="1"/>
    <col min="8207" max="8207" width="11.125" style="3" customWidth="1"/>
    <col min="8208" max="8208" width="9.75" style="3" customWidth="1"/>
    <col min="8209" max="8209" width="10.375" style="3" customWidth="1"/>
    <col min="8210" max="8211" width="9.625" style="3" customWidth="1"/>
    <col min="8212" max="8212" width="10.875" style="3" customWidth="1"/>
    <col min="8213" max="8213" width="9.375" style="3" customWidth="1"/>
    <col min="8214" max="8214" width="10.25" style="3" customWidth="1"/>
    <col min="8215" max="8215" width="9.75" style="3" customWidth="1"/>
    <col min="8216" max="8216" width="9.25" style="3" customWidth="1"/>
    <col min="8217" max="8448" width="9" style="3"/>
    <col min="8449" max="8449" width="6.25" style="3" customWidth="1"/>
    <col min="8450" max="8450" width="10.125" style="3" customWidth="1"/>
    <col min="8451" max="8451" width="29.375" style="3" customWidth="1"/>
    <col min="8452" max="8460" width="0" style="3" hidden="1" customWidth="1"/>
    <col min="8461" max="8461" width="14.75" style="3" customWidth="1"/>
    <col min="8462" max="8462" width="11" style="3" customWidth="1"/>
    <col min="8463" max="8463" width="11.125" style="3" customWidth="1"/>
    <col min="8464" max="8464" width="9.75" style="3" customWidth="1"/>
    <col min="8465" max="8465" width="10.375" style="3" customWidth="1"/>
    <col min="8466" max="8467" width="9.625" style="3" customWidth="1"/>
    <col min="8468" max="8468" width="10.875" style="3" customWidth="1"/>
    <col min="8469" max="8469" width="9.375" style="3" customWidth="1"/>
    <col min="8470" max="8470" width="10.25" style="3" customWidth="1"/>
    <col min="8471" max="8471" width="9.75" style="3" customWidth="1"/>
    <col min="8472" max="8472" width="9.25" style="3" customWidth="1"/>
    <col min="8473" max="8704" width="9" style="3"/>
    <col min="8705" max="8705" width="6.25" style="3" customWidth="1"/>
    <col min="8706" max="8706" width="10.125" style="3" customWidth="1"/>
    <col min="8707" max="8707" width="29.375" style="3" customWidth="1"/>
    <col min="8708" max="8716" width="0" style="3" hidden="1" customWidth="1"/>
    <col min="8717" max="8717" width="14.75" style="3" customWidth="1"/>
    <col min="8718" max="8718" width="11" style="3" customWidth="1"/>
    <col min="8719" max="8719" width="11.125" style="3" customWidth="1"/>
    <col min="8720" max="8720" width="9.75" style="3" customWidth="1"/>
    <col min="8721" max="8721" width="10.375" style="3" customWidth="1"/>
    <col min="8722" max="8723" width="9.625" style="3" customWidth="1"/>
    <col min="8724" max="8724" width="10.875" style="3" customWidth="1"/>
    <col min="8725" max="8725" width="9.375" style="3" customWidth="1"/>
    <col min="8726" max="8726" width="10.25" style="3" customWidth="1"/>
    <col min="8727" max="8727" width="9.75" style="3" customWidth="1"/>
    <col min="8728" max="8728" width="9.25" style="3" customWidth="1"/>
    <col min="8729" max="8960" width="9" style="3"/>
    <col min="8961" max="8961" width="6.25" style="3" customWidth="1"/>
    <col min="8962" max="8962" width="10.125" style="3" customWidth="1"/>
    <col min="8963" max="8963" width="29.375" style="3" customWidth="1"/>
    <col min="8964" max="8972" width="0" style="3" hidden="1" customWidth="1"/>
    <col min="8973" max="8973" width="14.75" style="3" customWidth="1"/>
    <col min="8974" max="8974" width="11" style="3" customWidth="1"/>
    <col min="8975" max="8975" width="11.125" style="3" customWidth="1"/>
    <col min="8976" max="8976" width="9.75" style="3" customWidth="1"/>
    <col min="8977" max="8977" width="10.375" style="3" customWidth="1"/>
    <col min="8978" max="8979" width="9.625" style="3" customWidth="1"/>
    <col min="8980" max="8980" width="10.875" style="3" customWidth="1"/>
    <col min="8981" max="8981" width="9.375" style="3" customWidth="1"/>
    <col min="8982" max="8982" width="10.25" style="3" customWidth="1"/>
    <col min="8983" max="8983" width="9.75" style="3" customWidth="1"/>
    <col min="8984" max="8984" width="9.25" style="3" customWidth="1"/>
    <col min="8985" max="9216" width="9" style="3"/>
    <col min="9217" max="9217" width="6.25" style="3" customWidth="1"/>
    <col min="9218" max="9218" width="10.125" style="3" customWidth="1"/>
    <col min="9219" max="9219" width="29.375" style="3" customWidth="1"/>
    <col min="9220" max="9228" width="0" style="3" hidden="1" customWidth="1"/>
    <col min="9229" max="9229" width="14.75" style="3" customWidth="1"/>
    <col min="9230" max="9230" width="11" style="3" customWidth="1"/>
    <col min="9231" max="9231" width="11.125" style="3" customWidth="1"/>
    <col min="9232" max="9232" width="9.75" style="3" customWidth="1"/>
    <col min="9233" max="9233" width="10.375" style="3" customWidth="1"/>
    <col min="9234" max="9235" width="9.625" style="3" customWidth="1"/>
    <col min="9236" max="9236" width="10.875" style="3" customWidth="1"/>
    <col min="9237" max="9237" width="9.375" style="3" customWidth="1"/>
    <col min="9238" max="9238" width="10.25" style="3" customWidth="1"/>
    <col min="9239" max="9239" width="9.75" style="3" customWidth="1"/>
    <col min="9240" max="9240" width="9.25" style="3" customWidth="1"/>
    <col min="9241" max="9472" width="9" style="3"/>
    <col min="9473" max="9473" width="6.25" style="3" customWidth="1"/>
    <col min="9474" max="9474" width="10.125" style="3" customWidth="1"/>
    <col min="9475" max="9475" width="29.375" style="3" customWidth="1"/>
    <col min="9476" max="9484" width="0" style="3" hidden="1" customWidth="1"/>
    <col min="9485" max="9485" width="14.75" style="3" customWidth="1"/>
    <col min="9486" max="9486" width="11" style="3" customWidth="1"/>
    <col min="9487" max="9487" width="11.125" style="3" customWidth="1"/>
    <col min="9488" max="9488" width="9.75" style="3" customWidth="1"/>
    <col min="9489" max="9489" width="10.375" style="3" customWidth="1"/>
    <col min="9490" max="9491" width="9.625" style="3" customWidth="1"/>
    <col min="9492" max="9492" width="10.875" style="3" customWidth="1"/>
    <col min="9493" max="9493" width="9.375" style="3" customWidth="1"/>
    <col min="9494" max="9494" width="10.25" style="3" customWidth="1"/>
    <col min="9495" max="9495" width="9.75" style="3" customWidth="1"/>
    <col min="9496" max="9496" width="9.25" style="3" customWidth="1"/>
    <col min="9497" max="9728" width="9" style="3"/>
    <col min="9729" max="9729" width="6.25" style="3" customWidth="1"/>
    <col min="9730" max="9730" width="10.125" style="3" customWidth="1"/>
    <col min="9731" max="9731" width="29.375" style="3" customWidth="1"/>
    <col min="9732" max="9740" width="0" style="3" hidden="1" customWidth="1"/>
    <col min="9741" max="9741" width="14.75" style="3" customWidth="1"/>
    <col min="9742" max="9742" width="11" style="3" customWidth="1"/>
    <col min="9743" max="9743" width="11.125" style="3" customWidth="1"/>
    <col min="9744" max="9744" width="9.75" style="3" customWidth="1"/>
    <col min="9745" max="9745" width="10.375" style="3" customWidth="1"/>
    <col min="9746" max="9747" width="9.625" style="3" customWidth="1"/>
    <col min="9748" max="9748" width="10.875" style="3" customWidth="1"/>
    <col min="9749" max="9749" width="9.375" style="3" customWidth="1"/>
    <col min="9750" max="9750" width="10.25" style="3" customWidth="1"/>
    <col min="9751" max="9751" width="9.75" style="3" customWidth="1"/>
    <col min="9752" max="9752" width="9.25" style="3" customWidth="1"/>
    <col min="9753" max="9984" width="9" style="3"/>
    <col min="9985" max="9985" width="6.25" style="3" customWidth="1"/>
    <col min="9986" max="9986" width="10.125" style="3" customWidth="1"/>
    <col min="9987" max="9987" width="29.375" style="3" customWidth="1"/>
    <col min="9988" max="9996" width="0" style="3" hidden="1" customWidth="1"/>
    <col min="9997" max="9997" width="14.75" style="3" customWidth="1"/>
    <col min="9998" max="9998" width="11" style="3" customWidth="1"/>
    <col min="9999" max="9999" width="11.125" style="3" customWidth="1"/>
    <col min="10000" max="10000" width="9.75" style="3" customWidth="1"/>
    <col min="10001" max="10001" width="10.375" style="3" customWidth="1"/>
    <col min="10002" max="10003" width="9.625" style="3" customWidth="1"/>
    <col min="10004" max="10004" width="10.875" style="3" customWidth="1"/>
    <col min="10005" max="10005" width="9.375" style="3" customWidth="1"/>
    <col min="10006" max="10006" width="10.25" style="3" customWidth="1"/>
    <col min="10007" max="10007" width="9.75" style="3" customWidth="1"/>
    <col min="10008" max="10008" width="9.25" style="3" customWidth="1"/>
    <col min="10009" max="10240" width="9" style="3"/>
    <col min="10241" max="10241" width="6.25" style="3" customWidth="1"/>
    <col min="10242" max="10242" width="10.125" style="3" customWidth="1"/>
    <col min="10243" max="10243" width="29.375" style="3" customWidth="1"/>
    <col min="10244" max="10252" width="0" style="3" hidden="1" customWidth="1"/>
    <col min="10253" max="10253" width="14.75" style="3" customWidth="1"/>
    <col min="10254" max="10254" width="11" style="3" customWidth="1"/>
    <col min="10255" max="10255" width="11.125" style="3" customWidth="1"/>
    <col min="10256" max="10256" width="9.75" style="3" customWidth="1"/>
    <col min="10257" max="10257" width="10.375" style="3" customWidth="1"/>
    <col min="10258" max="10259" width="9.625" style="3" customWidth="1"/>
    <col min="10260" max="10260" width="10.875" style="3" customWidth="1"/>
    <col min="10261" max="10261" width="9.375" style="3" customWidth="1"/>
    <col min="10262" max="10262" width="10.25" style="3" customWidth="1"/>
    <col min="10263" max="10263" width="9.75" style="3" customWidth="1"/>
    <col min="10264" max="10264" width="9.25" style="3" customWidth="1"/>
    <col min="10265" max="10496" width="9" style="3"/>
    <col min="10497" max="10497" width="6.25" style="3" customWidth="1"/>
    <col min="10498" max="10498" width="10.125" style="3" customWidth="1"/>
    <col min="10499" max="10499" width="29.375" style="3" customWidth="1"/>
    <col min="10500" max="10508" width="0" style="3" hidden="1" customWidth="1"/>
    <col min="10509" max="10509" width="14.75" style="3" customWidth="1"/>
    <col min="10510" max="10510" width="11" style="3" customWidth="1"/>
    <col min="10511" max="10511" width="11.125" style="3" customWidth="1"/>
    <col min="10512" max="10512" width="9.75" style="3" customWidth="1"/>
    <col min="10513" max="10513" width="10.375" style="3" customWidth="1"/>
    <col min="10514" max="10515" width="9.625" style="3" customWidth="1"/>
    <col min="10516" max="10516" width="10.875" style="3" customWidth="1"/>
    <col min="10517" max="10517" width="9.375" style="3" customWidth="1"/>
    <col min="10518" max="10518" width="10.25" style="3" customWidth="1"/>
    <col min="10519" max="10519" width="9.75" style="3" customWidth="1"/>
    <col min="10520" max="10520" width="9.25" style="3" customWidth="1"/>
    <col min="10521" max="10752" width="9" style="3"/>
    <col min="10753" max="10753" width="6.25" style="3" customWidth="1"/>
    <col min="10754" max="10754" width="10.125" style="3" customWidth="1"/>
    <col min="10755" max="10755" width="29.375" style="3" customWidth="1"/>
    <col min="10756" max="10764" width="0" style="3" hidden="1" customWidth="1"/>
    <col min="10765" max="10765" width="14.75" style="3" customWidth="1"/>
    <col min="10766" max="10766" width="11" style="3" customWidth="1"/>
    <col min="10767" max="10767" width="11.125" style="3" customWidth="1"/>
    <col min="10768" max="10768" width="9.75" style="3" customWidth="1"/>
    <col min="10769" max="10769" width="10.375" style="3" customWidth="1"/>
    <col min="10770" max="10771" width="9.625" style="3" customWidth="1"/>
    <col min="10772" max="10772" width="10.875" style="3" customWidth="1"/>
    <col min="10773" max="10773" width="9.375" style="3" customWidth="1"/>
    <col min="10774" max="10774" width="10.25" style="3" customWidth="1"/>
    <col min="10775" max="10775" width="9.75" style="3" customWidth="1"/>
    <col min="10776" max="10776" width="9.25" style="3" customWidth="1"/>
    <col min="10777" max="11008" width="9" style="3"/>
    <col min="11009" max="11009" width="6.25" style="3" customWidth="1"/>
    <col min="11010" max="11010" width="10.125" style="3" customWidth="1"/>
    <col min="11011" max="11011" width="29.375" style="3" customWidth="1"/>
    <col min="11012" max="11020" width="0" style="3" hidden="1" customWidth="1"/>
    <col min="11021" max="11021" width="14.75" style="3" customWidth="1"/>
    <col min="11022" max="11022" width="11" style="3" customWidth="1"/>
    <col min="11023" max="11023" width="11.125" style="3" customWidth="1"/>
    <col min="11024" max="11024" width="9.75" style="3" customWidth="1"/>
    <col min="11025" max="11025" width="10.375" style="3" customWidth="1"/>
    <col min="11026" max="11027" width="9.625" style="3" customWidth="1"/>
    <col min="11028" max="11028" width="10.875" style="3" customWidth="1"/>
    <col min="11029" max="11029" width="9.375" style="3" customWidth="1"/>
    <col min="11030" max="11030" width="10.25" style="3" customWidth="1"/>
    <col min="11031" max="11031" width="9.75" style="3" customWidth="1"/>
    <col min="11032" max="11032" width="9.25" style="3" customWidth="1"/>
    <col min="11033" max="11264" width="9" style="3"/>
    <col min="11265" max="11265" width="6.25" style="3" customWidth="1"/>
    <col min="11266" max="11266" width="10.125" style="3" customWidth="1"/>
    <col min="11267" max="11267" width="29.375" style="3" customWidth="1"/>
    <col min="11268" max="11276" width="0" style="3" hidden="1" customWidth="1"/>
    <col min="11277" max="11277" width="14.75" style="3" customWidth="1"/>
    <col min="11278" max="11278" width="11" style="3" customWidth="1"/>
    <col min="11279" max="11279" width="11.125" style="3" customWidth="1"/>
    <col min="11280" max="11280" width="9.75" style="3" customWidth="1"/>
    <col min="11281" max="11281" width="10.375" style="3" customWidth="1"/>
    <col min="11282" max="11283" width="9.625" style="3" customWidth="1"/>
    <col min="11284" max="11284" width="10.875" style="3" customWidth="1"/>
    <col min="11285" max="11285" width="9.375" style="3" customWidth="1"/>
    <col min="11286" max="11286" width="10.25" style="3" customWidth="1"/>
    <col min="11287" max="11287" width="9.75" style="3" customWidth="1"/>
    <col min="11288" max="11288" width="9.25" style="3" customWidth="1"/>
    <col min="11289" max="11520" width="9" style="3"/>
    <col min="11521" max="11521" width="6.25" style="3" customWidth="1"/>
    <col min="11522" max="11522" width="10.125" style="3" customWidth="1"/>
    <col min="11523" max="11523" width="29.375" style="3" customWidth="1"/>
    <col min="11524" max="11532" width="0" style="3" hidden="1" customWidth="1"/>
    <col min="11533" max="11533" width="14.75" style="3" customWidth="1"/>
    <col min="11534" max="11534" width="11" style="3" customWidth="1"/>
    <col min="11535" max="11535" width="11.125" style="3" customWidth="1"/>
    <col min="11536" max="11536" width="9.75" style="3" customWidth="1"/>
    <col min="11537" max="11537" width="10.375" style="3" customWidth="1"/>
    <col min="11538" max="11539" width="9.625" style="3" customWidth="1"/>
    <col min="11540" max="11540" width="10.875" style="3" customWidth="1"/>
    <col min="11541" max="11541" width="9.375" style="3" customWidth="1"/>
    <col min="11542" max="11542" width="10.25" style="3" customWidth="1"/>
    <col min="11543" max="11543" width="9.75" style="3" customWidth="1"/>
    <col min="11544" max="11544" width="9.25" style="3" customWidth="1"/>
    <col min="11545" max="11776" width="9" style="3"/>
    <col min="11777" max="11777" width="6.25" style="3" customWidth="1"/>
    <col min="11778" max="11778" width="10.125" style="3" customWidth="1"/>
    <col min="11779" max="11779" width="29.375" style="3" customWidth="1"/>
    <col min="11780" max="11788" width="0" style="3" hidden="1" customWidth="1"/>
    <col min="11789" max="11789" width="14.75" style="3" customWidth="1"/>
    <col min="11790" max="11790" width="11" style="3" customWidth="1"/>
    <col min="11791" max="11791" width="11.125" style="3" customWidth="1"/>
    <col min="11792" max="11792" width="9.75" style="3" customWidth="1"/>
    <col min="11793" max="11793" width="10.375" style="3" customWidth="1"/>
    <col min="11794" max="11795" width="9.625" style="3" customWidth="1"/>
    <col min="11796" max="11796" width="10.875" style="3" customWidth="1"/>
    <col min="11797" max="11797" width="9.375" style="3" customWidth="1"/>
    <col min="11798" max="11798" width="10.25" style="3" customWidth="1"/>
    <col min="11799" max="11799" width="9.75" style="3" customWidth="1"/>
    <col min="11800" max="11800" width="9.25" style="3" customWidth="1"/>
    <col min="11801" max="12032" width="9" style="3"/>
    <col min="12033" max="12033" width="6.25" style="3" customWidth="1"/>
    <col min="12034" max="12034" width="10.125" style="3" customWidth="1"/>
    <col min="12035" max="12035" width="29.375" style="3" customWidth="1"/>
    <col min="12036" max="12044" width="0" style="3" hidden="1" customWidth="1"/>
    <col min="12045" max="12045" width="14.75" style="3" customWidth="1"/>
    <col min="12046" max="12046" width="11" style="3" customWidth="1"/>
    <col min="12047" max="12047" width="11.125" style="3" customWidth="1"/>
    <col min="12048" max="12048" width="9.75" style="3" customWidth="1"/>
    <col min="12049" max="12049" width="10.375" style="3" customWidth="1"/>
    <col min="12050" max="12051" width="9.625" style="3" customWidth="1"/>
    <col min="12052" max="12052" width="10.875" style="3" customWidth="1"/>
    <col min="12053" max="12053" width="9.375" style="3" customWidth="1"/>
    <col min="12054" max="12054" width="10.25" style="3" customWidth="1"/>
    <col min="12055" max="12055" width="9.75" style="3" customWidth="1"/>
    <col min="12056" max="12056" width="9.25" style="3" customWidth="1"/>
    <col min="12057" max="12288" width="9" style="3"/>
    <col min="12289" max="12289" width="6.25" style="3" customWidth="1"/>
    <col min="12290" max="12290" width="10.125" style="3" customWidth="1"/>
    <col min="12291" max="12291" width="29.375" style="3" customWidth="1"/>
    <col min="12292" max="12300" width="0" style="3" hidden="1" customWidth="1"/>
    <col min="12301" max="12301" width="14.75" style="3" customWidth="1"/>
    <col min="12302" max="12302" width="11" style="3" customWidth="1"/>
    <col min="12303" max="12303" width="11.125" style="3" customWidth="1"/>
    <col min="12304" max="12304" width="9.75" style="3" customWidth="1"/>
    <col min="12305" max="12305" width="10.375" style="3" customWidth="1"/>
    <col min="12306" max="12307" width="9.625" style="3" customWidth="1"/>
    <col min="12308" max="12308" width="10.875" style="3" customWidth="1"/>
    <col min="12309" max="12309" width="9.375" style="3" customWidth="1"/>
    <col min="12310" max="12310" width="10.25" style="3" customWidth="1"/>
    <col min="12311" max="12311" width="9.75" style="3" customWidth="1"/>
    <col min="12312" max="12312" width="9.25" style="3" customWidth="1"/>
    <col min="12313" max="12544" width="9" style="3"/>
    <col min="12545" max="12545" width="6.25" style="3" customWidth="1"/>
    <col min="12546" max="12546" width="10.125" style="3" customWidth="1"/>
    <col min="12547" max="12547" width="29.375" style="3" customWidth="1"/>
    <col min="12548" max="12556" width="0" style="3" hidden="1" customWidth="1"/>
    <col min="12557" max="12557" width="14.75" style="3" customWidth="1"/>
    <col min="12558" max="12558" width="11" style="3" customWidth="1"/>
    <col min="12559" max="12559" width="11.125" style="3" customWidth="1"/>
    <col min="12560" max="12560" width="9.75" style="3" customWidth="1"/>
    <col min="12561" max="12561" width="10.375" style="3" customWidth="1"/>
    <col min="12562" max="12563" width="9.625" style="3" customWidth="1"/>
    <col min="12564" max="12564" width="10.875" style="3" customWidth="1"/>
    <col min="12565" max="12565" width="9.375" style="3" customWidth="1"/>
    <col min="12566" max="12566" width="10.25" style="3" customWidth="1"/>
    <col min="12567" max="12567" width="9.75" style="3" customWidth="1"/>
    <col min="12568" max="12568" width="9.25" style="3" customWidth="1"/>
    <col min="12569" max="12800" width="9" style="3"/>
    <col min="12801" max="12801" width="6.25" style="3" customWidth="1"/>
    <col min="12802" max="12802" width="10.125" style="3" customWidth="1"/>
    <col min="12803" max="12803" width="29.375" style="3" customWidth="1"/>
    <col min="12804" max="12812" width="0" style="3" hidden="1" customWidth="1"/>
    <col min="12813" max="12813" width="14.75" style="3" customWidth="1"/>
    <col min="12814" max="12814" width="11" style="3" customWidth="1"/>
    <col min="12815" max="12815" width="11.125" style="3" customWidth="1"/>
    <col min="12816" max="12816" width="9.75" style="3" customWidth="1"/>
    <col min="12817" max="12817" width="10.375" style="3" customWidth="1"/>
    <col min="12818" max="12819" width="9.625" style="3" customWidth="1"/>
    <col min="12820" max="12820" width="10.875" style="3" customWidth="1"/>
    <col min="12821" max="12821" width="9.375" style="3" customWidth="1"/>
    <col min="12822" max="12822" width="10.25" style="3" customWidth="1"/>
    <col min="12823" max="12823" width="9.75" style="3" customWidth="1"/>
    <col min="12824" max="12824" width="9.25" style="3" customWidth="1"/>
    <col min="12825" max="13056" width="9" style="3"/>
    <col min="13057" max="13057" width="6.25" style="3" customWidth="1"/>
    <col min="13058" max="13058" width="10.125" style="3" customWidth="1"/>
    <col min="13059" max="13059" width="29.375" style="3" customWidth="1"/>
    <col min="13060" max="13068" width="0" style="3" hidden="1" customWidth="1"/>
    <col min="13069" max="13069" width="14.75" style="3" customWidth="1"/>
    <col min="13070" max="13070" width="11" style="3" customWidth="1"/>
    <col min="13071" max="13071" width="11.125" style="3" customWidth="1"/>
    <col min="13072" max="13072" width="9.75" style="3" customWidth="1"/>
    <col min="13073" max="13073" width="10.375" style="3" customWidth="1"/>
    <col min="13074" max="13075" width="9.625" style="3" customWidth="1"/>
    <col min="13076" max="13076" width="10.875" style="3" customWidth="1"/>
    <col min="13077" max="13077" width="9.375" style="3" customWidth="1"/>
    <col min="13078" max="13078" width="10.25" style="3" customWidth="1"/>
    <col min="13079" max="13079" width="9.75" style="3" customWidth="1"/>
    <col min="13080" max="13080" width="9.25" style="3" customWidth="1"/>
    <col min="13081" max="13312" width="9" style="3"/>
    <col min="13313" max="13313" width="6.25" style="3" customWidth="1"/>
    <col min="13314" max="13314" width="10.125" style="3" customWidth="1"/>
    <col min="13315" max="13315" width="29.375" style="3" customWidth="1"/>
    <col min="13316" max="13324" width="0" style="3" hidden="1" customWidth="1"/>
    <col min="13325" max="13325" width="14.75" style="3" customWidth="1"/>
    <col min="13326" max="13326" width="11" style="3" customWidth="1"/>
    <col min="13327" max="13327" width="11.125" style="3" customWidth="1"/>
    <col min="13328" max="13328" width="9.75" style="3" customWidth="1"/>
    <col min="13329" max="13329" width="10.375" style="3" customWidth="1"/>
    <col min="13330" max="13331" width="9.625" style="3" customWidth="1"/>
    <col min="13332" max="13332" width="10.875" style="3" customWidth="1"/>
    <col min="13333" max="13333" width="9.375" style="3" customWidth="1"/>
    <col min="13334" max="13334" width="10.25" style="3" customWidth="1"/>
    <col min="13335" max="13335" width="9.75" style="3" customWidth="1"/>
    <col min="13336" max="13336" width="9.25" style="3" customWidth="1"/>
    <col min="13337" max="13568" width="9" style="3"/>
    <col min="13569" max="13569" width="6.25" style="3" customWidth="1"/>
    <col min="13570" max="13570" width="10.125" style="3" customWidth="1"/>
    <col min="13571" max="13571" width="29.375" style="3" customWidth="1"/>
    <col min="13572" max="13580" width="0" style="3" hidden="1" customWidth="1"/>
    <col min="13581" max="13581" width="14.75" style="3" customWidth="1"/>
    <col min="13582" max="13582" width="11" style="3" customWidth="1"/>
    <col min="13583" max="13583" width="11.125" style="3" customWidth="1"/>
    <col min="13584" max="13584" width="9.75" style="3" customWidth="1"/>
    <col min="13585" max="13585" width="10.375" style="3" customWidth="1"/>
    <col min="13586" max="13587" width="9.625" style="3" customWidth="1"/>
    <col min="13588" max="13588" width="10.875" style="3" customWidth="1"/>
    <col min="13589" max="13589" width="9.375" style="3" customWidth="1"/>
    <col min="13590" max="13590" width="10.25" style="3" customWidth="1"/>
    <col min="13591" max="13591" width="9.75" style="3" customWidth="1"/>
    <col min="13592" max="13592" width="9.25" style="3" customWidth="1"/>
    <col min="13593" max="13824" width="9" style="3"/>
    <col min="13825" max="13825" width="6.25" style="3" customWidth="1"/>
    <col min="13826" max="13826" width="10.125" style="3" customWidth="1"/>
    <col min="13827" max="13827" width="29.375" style="3" customWidth="1"/>
    <col min="13828" max="13836" width="0" style="3" hidden="1" customWidth="1"/>
    <col min="13837" max="13837" width="14.75" style="3" customWidth="1"/>
    <col min="13838" max="13838" width="11" style="3" customWidth="1"/>
    <col min="13839" max="13839" width="11.125" style="3" customWidth="1"/>
    <col min="13840" max="13840" width="9.75" style="3" customWidth="1"/>
    <col min="13841" max="13841" width="10.375" style="3" customWidth="1"/>
    <col min="13842" max="13843" width="9.625" style="3" customWidth="1"/>
    <col min="13844" max="13844" width="10.875" style="3" customWidth="1"/>
    <col min="13845" max="13845" width="9.375" style="3" customWidth="1"/>
    <col min="13846" max="13846" width="10.25" style="3" customWidth="1"/>
    <col min="13847" max="13847" width="9.75" style="3" customWidth="1"/>
    <col min="13848" max="13848" width="9.25" style="3" customWidth="1"/>
    <col min="13849" max="14080" width="9" style="3"/>
    <col min="14081" max="14081" width="6.25" style="3" customWidth="1"/>
    <col min="14082" max="14082" width="10.125" style="3" customWidth="1"/>
    <col min="14083" max="14083" width="29.375" style="3" customWidth="1"/>
    <col min="14084" max="14092" width="0" style="3" hidden="1" customWidth="1"/>
    <col min="14093" max="14093" width="14.75" style="3" customWidth="1"/>
    <col min="14094" max="14094" width="11" style="3" customWidth="1"/>
    <col min="14095" max="14095" width="11.125" style="3" customWidth="1"/>
    <col min="14096" max="14096" width="9.75" style="3" customWidth="1"/>
    <col min="14097" max="14097" width="10.375" style="3" customWidth="1"/>
    <col min="14098" max="14099" width="9.625" style="3" customWidth="1"/>
    <col min="14100" max="14100" width="10.875" style="3" customWidth="1"/>
    <col min="14101" max="14101" width="9.375" style="3" customWidth="1"/>
    <col min="14102" max="14102" width="10.25" style="3" customWidth="1"/>
    <col min="14103" max="14103" width="9.75" style="3" customWidth="1"/>
    <col min="14104" max="14104" width="9.25" style="3" customWidth="1"/>
    <col min="14105" max="14336" width="9" style="3"/>
    <col min="14337" max="14337" width="6.25" style="3" customWidth="1"/>
    <col min="14338" max="14338" width="10.125" style="3" customWidth="1"/>
    <col min="14339" max="14339" width="29.375" style="3" customWidth="1"/>
    <col min="14340" max="14348" width="0" style="3" hidden="1" customWidth="1"/>
    <col min="14349" max="14349" width="14.75" style="3" customWidth="1"/>
    <col min="14350" max="14350" width="11" style="3" customWidth="1"/>
    <col min="14351" max="14351" width="11.125" style="3" customWidth="1"/>
    <col min="14352" max="14352" width="9.75" style="3" customWidth="1"/>
    <col min="14353" max="14353" width="10.375" style="3" customWidth="1"/>
    <col min="14354" max="14355" width="9.625" style="3" customWidth="1"/>
    <col min="14356" max="14356" width="10.875" style="3" customWidth="1"/>
    <col min="14357" max="14357" width="9.375" style="3" customWidth="1"/>
    <col min="14358" max="14358" width="10.25" style="3" customWidth="1"/>
    <col min="14359" max="14359" width="9.75" style="3" customWidth="1"/>
    <col min="14360" max="14360" width="9.25" style="3" customWidth="1"/>
    <col min="14361" max="14592" width="9" style="3"/>
    <col min="14593" max="14593" width="6.25" style="3" customWidth="1"/>
    <col min="14594" max="14594" width="10.125" style="3" customWidth="1"/>
    <col min="14595" max="14595" width="29.375" style="3" customWidth="1"/>
    <col min="14596" max="14604" width="0" style="3" hidden="1" customWidth="1"/>
    <col min="14605" max="14605" width="14.75" style="3" customWidth="1"/>
    <col min="14606" max="14606" width="11" style="3" customWidth="1"/>
    <col min="14607" max="14607" width="11.125" style="3" customWidth="1"/>
    <col min="14608" max="14608" width="9.75" style="3" customWidth="1"/>
    <col min="14609" max="14609" width="10.375" style="3" customWidth="1"/>
    <col min="14610" max="14611" width="9.625" style="3" customWidth="1"/>
    <col min="14612" max="14612" width="10.875" style="3" customWidth="1"/>
    <col min="14613" max="14613" width="9.375" style="3" customWidth="1"/>
    <col min="14614" max="14614" width="10.25" style="3" customWidth="1"/>
    <col min="14615" max="14615" width="9.75" style="3" customWidth="1"/>
    <col min="14616" max="14616" width="9.25" style="3" customWidth="1"/>
    <col min="14617" max="14848" width="9" style="3"/>
    <col min="14849" max="14849" width="6.25" style="3" customWidth="1"/>
    <col min="14850" max="14850" width="10.125" style="3" customWidth="1"/>
    <col min="14851" max="14851" width="29.375" style="3" customWidth="1"/>
    <col min="14852" max="14860" width="0" style="3" hidden="1" customWidth="1"/>
    <col min="14861" max="14861" width="14.75" style="3" customWidth="1"/>
    <col min="14862" max="14862" width="11" style="3" customWidth="1"/>
    <col min="14863" max="14863" width="11.125" style="3" customWidth="1"/>
    <col min="14864" max="14864" width="9.75" style="3" customWidth="1"/>
    <col min="14865" max="14865" width="10.375" style="3" customWidth="1"/>
    <col min="14866" max="14867" width="9.625" style="3" customWidth="1"/>
    <col min="14868" max="14868" width="10.875" style="3" customWidth="1"/>
    <col min="14869" max="14869" width="9.375" style="3" customWidth="1"/>
    <col min="14870" max="14870" width="10.25" style="3" customWidth="1"/>
    <col min="14871" max="14871" width="9.75" style="3" customWidth="1"/>
    <col min="14872" max="14872" width="9.25" style="3" customWidth="1"/>
    <col min="14873" max="15104" width="9" style="3"/>
    <col min="15105" max="15105" width="6.25" style="3" customWidth="1"/>
    <col min="15106" max="15106" width="10.125" style="3" customWidth="1"/>
    <col min="15107" max="15107" width="29.375" style="3" customWidth="1"/>
    <col min="15108" max="15116" width="0" style="3" hidden="1" customWidth="1"/>
    <col min="15117" max="15117" width="14.75" style="3" customWidth="1"/>
    <col min="15118" max="15118" width="11" style="3" customWidth="1"/>
    <col min="15119" max="15119" width="11.125" style="3" customWidth="1"/>
    <col min="15120" max="15120" width="9.75" style="3" customWidth="1"/>
    <col min="15121" max="15121" width="10.375" style="3" customWidth="1"/>
    <col min="15122" max="15123" width="9.625" style="3" customWidth="1"/>
    <col min="15124" max="15124" width="10.875" style="3" customWidth="1"/>
    <col min="15125" max="15125" width="9.375" style="3" customWidth="1"/>
    <col min="15126" max="15126" width="10.25" style="3" customWidth="1"/>
    <col min="15127" max="15127" width="9.75" style="3" customWidth="1"/>
    <col min="15128" max="15128" width="9.25" style="3" customWidth="1"/>
    <col min="15129" max="15360" width="9" style="3"/>
    <col min="15361" max="15361" width="6.25" style="3" customWidth="1"/>
    <col min="15362" max="15362" width="10.125" style="3" customWidth="1"/>
    <col min="15363" max="15363" width="29.375" style="3" customWidth="1"/>
    <col min="15364" max="15372" width="0" style="3" hidden="1" customWidth="1"/>
    <col min="15373" max="15373" width="14.75" style="3" customWidth="1"/>
    <col min="15374" max="15374" width="11" style="3" customWidth="1"/>
    <col min="15375" max="15375" width="11.125" style="3" customWidth="1"/>
    <col min="15376" max="15376" width="9.75" style="3" customWidth="1"/>
    <col min="15377" max="15377" width="10.375" style="3" customWidth="1"/>
    <col min="15378" max="15379" width="9.625" style="3" customWidth="1"/>
    <col min="15380" max="15380" width="10.875" style="3" customWidth="1"/>
    <col min="15381" max="15381" width="9.375" style="3" customWidth="1"/>
    <col min="15382" max="15382" width="10.25" style="3" customWidth="1"/>
    <col min="15383" max="15383" width="9.75" style="3" customWidth="1"/>
    <col min="15384" max="15384" width="9.25" style="3" customWidth="1"/>
    <col min="15385" max="15616" width="9" style="3"/>
    <col min="15617" max="15617" width="6.25" style="3" customWidth="1"/>
    <col min="15618" max="15618" width="10.125" style="3" customWidth="1"/>
    <col min="15619" max="15619" width="29.375" style="3" customWidth="1"/>
    <col min="15620" max="15628" width="0" style="3" hidden="1" customWidth="1"/>
    <col min="15629" max="15629" width="14.75" style="3" customWidth="1"/>
    <col min="15630" max="15630" width="11" style="3" customWidth="1"/>
    <col min="15631" max="15631" width="11.125" style="3" customWidth="1"/>
    <col min="15632" max="15632" width="9.75" style="3" customWidth="1"/>
    <col min="15633" max="15633" width="10.375" style="3" customWidth="1"/>
    <col min="15634" max="15635" width="9.625" style="3" customWidth="1"/>
    <col min="15636" max="15636" width="10.875" style="3" customWidth="1"/>
    <col min="15637" max="15637" width="9.375" style="3" customWidth="1"/>
    <col min="15638" max="15638" width="10.25" style="3" customWidth="1"/>
    <col min="15639" max="15639" width="9.75" style="3" customWidth="1"/>
    <col min="15640" max="15640" width="9.25" style="3" customWidth="1"/>
    <col min="15641" max="15872" width="9" style="3"/>
    <col min="15873" max="15873" width="6.25" style="3" customWidth="1"/>
    <col min="15874" max="15874" width="10.125" style="3" customWidth="1"/>
    <col min="15875" max="15875" width="29.375" style="3" customWidth="1"/>
    <col min="15876" max="15884" width="0" style="3" hidden="1" customWidth="1"/>
    <col min="15885" max="15885" width="14.75" style="3" customWidth="1"/>
    <col min="15886" max="15886" width="11" style="3" customWidth="1"/>
    <col min="15887" max="15887" width="11.125" style="3" customWidth="1"/>
    <col min="15888" max="15888" width="9.75" style="3" customWidth="1"/>
    <col min="15889" max="15889" width="10.375" style="3" customWidth="1"/>
    <col min="15890" max="15891" width="9.625" style="3" customWidth="1"/>
    <col min="15892" max="15892" width="10.875" style="3" customWidth="1"/>
    <col min="15893" max="15893" width="9.375" style="3" customWidth="1"/>
    <col min="15894" max="15894" width="10.25" style="3" customWidth="1"/>
    <col min="15895" max="15895" width="9.75" style="3" customWidth="1"/>
    <col min="15896" max="15896" width="9.25" style="3" customWidth="1"/>
    <col min="15897" max="16128" width="9" style="3"/>
    <col min="16129" max="16129" width="6.25" style="3" customWidth="1"/>
    <col min="16130" max="16130" width="10.125" style="3" customWidth="1"/>
    <col min="16131" max="16131" width="29.375" style="3" customWidth="1"/>
    <col min="16132" max="16140" width="0" style="3" hidden="1" customWidth="1"/>
    <col min="16141" max="16141" width="14.75" style="3" customWidth="1"/>
    <col min="16142" max="16142" width="11" style="3" customWidth="1"/>
    <col min="16143" max="16143" width="11.125" style="3" customWidth="1"/>
    <col min="16144" max="16144" width="9.75" style="3" customWidth="1"/>
    <col min="16145" max="16145" width="10.375" style="3" customWidth="1"/>
    <col min="16146" max="16147" width="9.625" style="3" customWidth="1"/>
    <col min="16148" max="16148" width="10.875" style="3" customWidth="1"/>
    <col min="16149" max="16149" width="9.375" style="3" customWidth="1"/>
    <col min="16150" max="16150" width="10.25" style="3" customWidth="1"/>
    <col min="16151" max="16151" width="9.75" style="3" customWidth="1"/>
    <col min="16152" max="16152" width="9.25" style="3" customWidth="1"/>
    <col min="16153" max="16384" width="9" style="3"/>
  </cols>
  <sheetData>
    <row r="1" spans="1:24" ht="26.25">
      <c r="A1" s="1" t="s">
        <v>0</v>
      </c>
      <c r="B1" s="2"/>
      <c r="E1" s="4"/>
      <c r="F1" s="4"/>
      <c r="G1" s="5"/>
      <c r="H1" s="5"/>
      <c r="I1" s="5"/>
      <c r="J1" s="4"/>
      <c r="K1" s="4"/>
      <c r="L1" s="6"/>
      <c r="N1" s="6"/>
      <c r="O1" s="6"/>
      <c r="P1" s="4"/>
      <c r="Q1" s="4"/>
      <c r="R1" s="4"/>
      <c r="S1" s="4"/>
      <c r="T1" s="4"/>
      <c r="U1" s="4"/>
      <c r="V1" s="4"/>
      <c r="W1" s="1369" t="s">
        <v>1</v>
      </c>
      <c r="X1" s="1369"/>
    </row>
    <row r="2" spans="1:24" ht="26.25">
      <c r="A2" s="7" t="s">
        <v>2</v>
      </c>
      <c r="B2" s="8"/>
      <c r="E2" s="9"/>
      <c r="F2" s="9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>
      <c r="A3" s="1370" t="s">
        <v>3</v>
      </c>
      <c r="B3" s="11"/>
      <c r="C3" s="1353" t="s">
        <v>4</v>
      </c>
      <c r="D3" s="1353" t="s">
        <v>5</v>
      </c>
      <c r="E3" s="1353" t="s">
        <v>6</v>
      </c>
      <c r="F3" s="1353" t="s">
        <v>7</v>
      </c>
      <c r="G3" s="1353" t="s">
        <v>8</v>
      </c>
      <c r="H3" s="1353" t="s">
        <v>9</v>
      </c>
      <c r="I3" s="1353" t="s">
        <v>10</v>
      </c>
      <c r="J3" s="1353" t="s">
        <v>11</v>
      </c>
      <c r="K3" s="1376" t="s">
        <v>12</v>
      </c>
      <c r="L3" s="1353" t="s">
        <v>13</v>
      </c>
      <c r="M3" s="1353" t="s">
        <v>14</v>
      </c>
      <c r="N3" s="12"/>
      <c r="O3" s="13"/>
      <c r="P3" s="1387"/>
      <c r="Q3" s="1387"/>
      <c r="R3" s="1387"/>
      <c r="S3" s="1387"/>
      <c r="T3" s="1387"/>
      <c r="U3" s="1387"/>
      <c r="V3" s="1387"/>
      <c r="W3" s="1387"/>
      <c r="X3" s="1388"/>
    </row>
    <row r="4" spans="1:24">
      <c r="A4" s="1371"/>
      <c r="B4" s="14"/>
      <c r="C4" s="1356"/>
      <c r="D4" s="1356"/>
      <c r="E4" s="1356"/>
      <c r="F4" s="1356"/>
      <c r="G4" s="1356"/>
      <c r="H4" s="1356"/>
      <c r="I4" s="1356"/>
      <c r="J4" s="1356"/>
      <c r="K4" s="1377"/>
      <c r="L4" s="1356"/>
      <c r="M4" s="1356"/>
      <c r="N4" s="15" t="s">
        <v>15</v>
      </c>
      <c r="O4" s="16" t="s">
        <v>16</v>
      </c>
      <c r="P4" s="1352" t="s">
        <v>17</v>
      </c>
      <c r="Q4" s="1350"/>
      <c r="R4" s="1350"/>
      <c r="S4" s="1351"/>
      <c r="T4" s="1353" t="s">
        <v>18</v>
      </c>
      <c r="U4" s="1352" t="s">
        <v>19</v>
      </c>
      <c r="V4" s="1350"/>
      <c r="W4" s="1351"/>
      <c r="X4" s="1353" t="s">
        <v>20</v>
      </c>
    </row>
    <row r="5" spans="1:24" ht="84">
      <c r="A5" s="1372"/>
      <c r="B5" s="17" t="s">
        <v>21</v>
      </c>
      <c r="C5" s="1354"/>
      <c r="D5" s="1354"/>
      <c r="E5" s="1354"/>
      <c r="F5" s="1354"/>
      <c r="G5" s="1354"/>
      <c r="H5" s="1354"/>
      <c r="I5" s="1354"/>
      <c r="J5" s="1354"/>
      <c r="K5" s="1378"/>
      <c r="L5" s="1354"/>
      <c r="M5" s="1354"/>
      <c r="N5" s="18" t="s">
        <v>22</v>
      </c>
      <c r="O5" s="18" t="s">
        <v>23</v>
      </c>
      <c r="P5" s="13" t="s">
        <v>24</v>
      </c>
      <c r="Q5" s="13" t="s">
        <v>25</v>
      </c>
      <c r="R5" s="13" t="s">
        <v>26</v>
      </c>
      <c r="S5" s="13" t="s">
        <v>27</v>
      </c>
      <c r="T5" s="1354"/>
      <c r="U5" s="19" t="s">
        <v>28</v>
      </c>
      <c r="V5" s="19" t="s">
        <v>29</v>
      </c>
      <c r="W5" s="13" t="s">
        <v>30</v>
      </c>
      <c r="X5" s="1355"/>
    </row>
    <row r="6" spans="1:24" s="22" customFormat="1">
      <c r="A6" s="20">
        <v>1</v>
      </c>
      <c r="B6" s="20" t="s">
        <v>31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1"/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</row>
    <row r="7" spans="1:24" s="28" customFormat="1" ht="31.5">
      <c r="A7" s="23" t="s">
        <v>32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7"/>
      <c r="O7" s="27"/>
      <c r="P7" s="26"/>
      <c r="Q7" s="26"/>
      <c r="R7" s="26"/>
      <c r="S7" s="26"/>
      <c r="T7" s="26"/>
      <c r="U7" s="26"/>
      <c r="V7" s="26"/>
      <c r="W7" s="26"/>
      <c r="X7" s="26"/>
    </row>
    <row r="8" spans="1:24" s="35" customFormat="1" ht="26.25">
      <c r="A8" s="29" t="s">
        <v>33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2" t="s">
        <v>34</v>
      </c>
      <c r="N8" s="33"/>
      <c r="O8" s="33"/>
      <c r="P8" s="34"/>
      <c r="Q8" s="34"/>
      <c r="R8" s="34"/>
      <c r="S8" s="34"/>
      <c r="T8" s="34"/>
      <c r="U8" s="34"/>
      <c r="V8" s="34"/>
      <c r="W8" s="34"/>
      <c r="X8" s="34"/>
    </row>
    <row r="9" spans="1:24" s="43" customFormat="1" ht="26.25">
      <c r="A9" s="36" t="s">
        <v>35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2">
        <f>M11+M12+M66+M68</f>
        <v>22812100</v>
      </c>
      <c r="N9" s="39"/>
      <c r="O9" s="40"/>
      <c r="P9" s="41" t="s">
        <v>34</v>
      </c>
      <c r="Q9" s="42"/>
      <c r="R9" s="42"/>
      <c r="S9" s="42" t="s">
        <v>34</v>
      </c>
      <c r="T9" s="42"/>
      <c r="U9" s="42"/>
      <c r="V9" s="42"/>
      <c r="W9" s="42"/>
      <c r="X9" s="42"/>
    </row>
    <row r="10" spans="1:24" s="43" customFormat="1" ht="25.5">
      <c r="A10" s="44" t="s">
        <v>36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5">
        <f>M11+M12+M66+M68</f>
        <v>22812100</v>
      </c>
      <c r="N10" s="46" t="s">
        <v>37</v>
      </c>
      <c r="O10" s="47">
        <f>M9-M10</f>
        <v>0</v>
      </c>
      <c r="P10" s="48" t="s">
        <v>38</v>
      </c>
      <c r="Q10" s="49"/>
      <c r="R10" s="49"/>
      <c r="S10" s="38" t="s">
        <v>39</v>
      </c>
      <c r="T10" s="38"/>
      <c r="U10" s="38"/>
      <c r="V10" s="38"/>
      <c r="W10" s="38"/>
      <c r="X10" s="50"/>
    </row>
    <row r="11" spans="1:24" s="58" customFormat="1" ht="63">
      <c r="A11" s="51" t="s">
        <v>40</v>
      </c>
      <c r="B11" s="52" t="s">
        <v>41</v>
      </c>
      <c r="C11" s="52" t="s">
        <v>42</v>
      </c>
      <c r="D11" s="52"/>
      <c r="E11" s="53"/>
      <c r="F11" s="52"/>
      <c r="G11" s="54"/>
      <c r="H11" s="54"/>
      <c r="I11" s="52"/>
      <c r="J11" s="52"/>
      <c r="K11" s="52"/>
      <c r="L11" s="55"/>
      <c r="M11" s="55">
        <f>N11+O11+S11+T11+W11+X11</f>
        <v>19475340</v>
      </c>
      <c r="N11" s="56">
        <v>16613300</v>
      </c>
      <c r="O11" s="56">
        <v>630000</v>
      </c>
      <c r="P11" s="56">
        <v>127400</v>
      </c>
      <c r="Q11" s="56">
        <v>190200</v>
      </c>
      <c r="R11" s="56">
        <f>2891200-M12-M66</f>
        <v>1914440</v>
      </c>
      <c r="S11" s="57">
        <f>P11+Q11+R11</f>
        <v>2232040</v>
      </c>
      <c r="T11" s="55">
        <v>0</v>
      </c>
      <c r="U11" s="55">
        <v>0</v>
      </c>
      <c r="V11" s="55">
        <v>0</v>
      </c>
      <c r="W11" s="55">
        <f>U11+V11</f>
        <v>0</v>
      </c>
      <c r="X11" s="55">
        <v>0</v>
      </c>
    </row>
    <row r="12" spans="1:24" s="65" customFormat="1" ht="42">
      <c r="A12" s="59"/>
      <c r="B12" s="60"/>
      <c r="C12" s="60" t="s">
        <v>43</v>
      </c>
      <c r="D12" s="60"/>
      <c r="E12" s="61"/>
      <c r="F12" s="60"/>
      <c r="G12" s="62"/>
      <c r="H12" s="62"/>
      <c r="I12" s="60"/>
      <c r="J12" s="60"/>
      <c r="K12" s="60"/>
      <c r="L12" s="63"/>
      <c r="M12" s="57">
        <f>SUM(M13:M60)</f>
        <v>776760</v>
      </c>
      <c r="N12" s="63"/>
      <c r="O12" s="63" t="s">
        <v>34</v>
      </c>
      <c r="P12" s="63"/>
      <c r="Q12" s="63"/>
      <c r="R12" s="63"/>
      <c r="S12" s="64" t="s">
        <v>34</v>
      </c>
      <c r="T12" s="63"/>
      <c r="U12" s="63"/>
      <c r="V12" s="64"/>
      <c r="W12" s="64"/>
      <c r="X12" s="64"/>
    </row>
    <row r="13" spans="1:24" s="76" customFormat="1" ht="41.25" customHeight="1">
      <c r="A13" s="66" t="s">
        <v>44</v>
      </c>
      <c r="B13" s="67" t="s">
        <v>45</v>
      </c>
      <c r="C13" s="68" t="s">
        <v>46</v>
      </c>
      <c r="D13" s="69" t="s">
        <v>47</v>
      </c>
      <c r="E13" s="69" t="s">
        <v>48</v>
      </c>
      <c r="F13" s="70" t="s">
        <v>49</v>
      </c>
      <c r="G13" s="71"/>
      <c r="H13" s="71"/>
      <c r="I13" s="18" t="s">
        <v>50</v>
      </c>
      <c r="J13" s="69"/>
      <c r="K13" s="69"/>
      <c r="L13" s="72"/>
      <c r="M13" s="73">
        <f>N13+O13+S13+T13+W13+X13</f>
        <v>7000</v>
      </c>
      <c r="N13" s="74">
        <v>0</v>
      </c>
      <c r="O13" s="75">
        <v>0</v>
      </c>
      <c r="P13" s="75">
        <v>0</v>
      </c>
      <c r="Q13" s="75">
        <f>SUM(Q14:Q15)</f>
        <v>6600</v>
      </c>
      <c r="R13" s="75">
        <f>Q16</f>
        <v>400</v>
      </c>
      <c r="S13" s="73">
        <f>SUM(P13:R13)</f>
        <v>7000</v>
      </c>
      <c r="T13" s="75">
        <v>0</v>
      </c>
      <c r="U13" s="75">
        <v>0</v>
      </c>
      <c r="V13" s="73">
        <v>0</v>
      </c>
      <c r="W13" s="73">
        <f>U13+V13</f>
        <v>0</v>
      </c>
      <c r="X13" s="73">
        <v>0</v>
      </c>
    </row>
    <row r="14" spans="1:24" s="86" customFormat="1">
      <c r="A14" s="77"/>
      <c r="B14" s="78" t="s">
        <v>34</v>
      </c>
      <c r="C14" s="79" t="s">
        <v>51</v>
      </c>
      <c r="D14" s="80"/>
      <c r="E14" s="81"/>
      <c r="F14" s="80"/>
      <c r="G14" s="82"/>
      <c r="H14" s="82"/>
      <c r="I14" s="83"/>
      <c r="J14" s="80"/>
      <c r="K14" s="80"/>
      <c r="L14" s="84"/>
      <c r="M14" s="85"/>
      <c r="N14" s="85"/>
      <c r="O14" s="85"/>
      <c r="P14" s="85"/>
      <c r="Q14" s="85">
        <f>25*110*1</f>
        <v>2750</v>
      </c>
      <c r="R14" s="85"/>
      <c r="S14" s="85"/>
      <c r="T14" s="85"/>
      <c r="U14" s="85"/>
      <c r="V14" s="85"/>
      <c r="W14" s="85"/>
      <c r="X14" s="85"/>
    </row>
    <row r="15" spans="1:24" s="86" customFormat="1">
      <c r="A15" s="77"/>
      <c r="B15" s="78" t="s">
        <v>39</v>
      </c>
      <c r="C15" s="79" t="s">
        <v>52</v>
      </c>
      <c r="D15" s="80"/>
      <c r="E15" s="81"/>
      <c r="F15" s="80"/>
      <c r="G15" s="82"/>
      <c r="H15" s="82"/>
      <c r="I15" s="83"/>
      <c r="J15" s="80"/>
      <c r="K15" s="80"/>
      <c r="L15" s="84"/>
      <c r="M15" s="85"/>
      <c r="N15" s="85"/>
      <c r="O15" s="85"/>
      <c r="P15" s="85"/>
      <c r="Q15" s="85">
        <f>35*110</f>
        <v>3850</v>
      </c>
      <c r="R15" s="85"/>
      <c r="S15" s="85"/>
      <c r="T15" s="85"/>
      <c r="U15" s="85"/>
      <c r="V15" s="85"/>
      <c r="W15" s="85"/>
      <c r="X15" s="85"/>
    </row>
    <row r="16" spans="1:24" s="86" customFormat="1">
      <c r="A16" s="87"/>
      <c r="B16" s="68" t="s">
        <v>34</v>
      </c>
      <c r="C16" s="79" t="s">
        <v>53</v>
      </c>
      <c r="D16" s="80"/>
      <c r="E16" s="81"/>
      <c r="F16" s="80"/>
      <c r="G16" s="82"/>
      <c r="H16" s="82"/>
      <c r="I16" s="83"/>
      <c r="J16" s="80"/>
      <c r="K16" s="80"/>
      <c r="L16" s="84"/>
      <c r="M16" s="85"/>
      <c r="N16" s="85"/>
      <c r="O16" s="85"/>
      <c r="P16" s="85"/>
      <c r="Q16" s="85">
        <v>400</v>
      </c>
      <c r="R16" s="85"/>
      <c r="S16" s="85"/>
      <c r="T16" s="85"/>
      <c r="U16" s="85"/>
      <c r="V16" s="85"/>
      <c r="W16" s="85"/>
      <c r="X16" s="85"/>
    </row>
    <row r="17" spans="1:24" s="76" customFormat="1" ht="63.75" customHeight="1">
      <c r="A17" s="66" t="s">
        <v>54</v>
      </c>
      <c r="B17" s="67" t="s">
        <v>55</v>
      </c>
      <c r="C17" s="68" t="s">
        <v>56</v>
      </c>
      <c r="D17" s="68"/>
      <c r="E17" s="88"/>
      <c r="F17" s="68"/>
      <c r="G17" s="89"/>
      <c r="H17" s="89"/>
      <c r="I17" s="90" t="s">
        <v>57</v>
      </c>
      <c r="J17" s="68"/>
      <c r="K17" s="68"/>
      <c r="L17" s="74"/>
      <c r="M17" s="73">
        <f>N17+O17+S17+T17+W17+X17</f>
        <v>38000</v>
      </c>
      <c r="N17" s="72">
        <v>0</v>
      </c>
      <c r="O17" s="91">
        <v>0</v>
      </c>
      <c r="P17" s="91">
        <v>0</v>
      </c>
      <c r="Q17" s="75">
        <f>SUM(Q18:Q25)</f>
        <v>38000</v>
      </c>
      <c r="R17" s="75">
        <v>0</v>
      </c>
      <c r="S17" s="73">
        <f>P17+Q17+R17</f>
        <v>38000</v>
      </c>
      <c r="T17" s="91">
        <v>0</v>
      </c>
      <c r="U17" s="91">
        <v>0</v>
      </c>
      <c r="V17" s="92">
        <v>0</v>
      </c>
      <c r="W17" s="92">
        <f>U17+V17</f>
        <v>0</v>
      </c>
      <c r="X17" s="92">
        <v>0</v>
      </c>
    </row>
    <row r="18" spans="1:24" s="76" customFormat="1">
      <c r="A18" s="93"/>
      <c r="B18" s="78" t="s">
        <v>34</v>
      </c>
      <c r="C18" s="94" t="s">
        <v>58</v>
      </c>
      <c r="D18" s="68"/>
      <c r="E18" s="88"/>
      <c r="F18" s="68"/>
      <c r="G18" s="89"/>
      <c r="H18" s="89"/>
      <c r="I18" s="90"/>
      <c r="J18" s="68"/>
      <c r="K18" s="68"/>
      <c r="L18" s="74"/>
      <c r="M18" s="73" t="s">
        <v>34</v>
      </c>
      <c r="N18" s="73"/>
      <c r="O18" s="73"/>
      <c r="P18" s="73"/>
      <c r="Q18" s="73">
        <f>600*20</f>
        <v>12000</v>
      </c>
      <c r="R18" s="73"/>
      <c r="S18" s="73"/>
      <c r="T18" s="73"/>
      <c r="U18" s="73"/>
      <c r="V18" s="73"/>
      <c r="W18" s="73"/>
      <c r="X18" s="73"/>
    </row>
    <row r="19" spans="1:24" s="76" customFormat="1">
      <c r="A19" s="93"/>
      <c r="B19" s="78" t="s">
        <v>34</v>
      </c>
      <c r="C19" s="94" t="s">
        <v>59</v>
      </c>
      <c r="D19" s="68"/>
      <c r="E19" s="88"/>
      <c r="F19" s="68"/>
      <c r="G19" s="89"/>
      <c r="H19" s="89"/>
      <c r="I19" s="90"/>
      <c r="J19" s="68"/>
      <c r="K19" s="68"/>
      <c r="L19" s="74"/>
      <c r="M19" s="73"/>
      <c r="N19" s="73"/>
      <c r="O19" s="73"/>
      <c r="P19" s="73"/>
      <c r="Q19" s="73">
        <v>0</v>
      </c>
      <c r="R19" s="73"/>
      <c r="S19" s="73"/>
      <c r="T19" s="73"/>
      <c r="U19" s="73"/>
      <c r="V19" s="73"/>
      <c r="W19" s="73"/>
      <c r="X19" s="73"/>
    </row>
    <row r="20" spans="1:24" s="76" customFormat="1">
      <c r="A20" s="93"/>
      <c r="B20" s="78" t="s">
        <v>34</v>
      </c>
      <c r="C20" s="79" t="s">
        <v>60</v>
      </c>
      <c r="D20" s="68"/>
      <c r="E20" s="88"/>
      <c r="F20" s="68"/>
      <c r="G20" s="89"/>
      <c r="H20" s="89"/>
      <c r="I20" s="90"/>
      <c r="J20" s="68"/>
      <c r="K20" s="68"/>
      <c r="L20" s="74"/>
      <c r="M20" s="73"/>
      <c r="N20" s="73"/>
      <c r="O20" s="73"/>
      <c r="P20" s="73"/>
      <c r="Q20" s="73">
        <f>6000*2</f>
        <v>12000</v>
      </c>
      <c r="R20" s="73"/>
      <c r="S20" s="73"/>
      <c r="T20" s="73"/>
      <c r="U20" s="73"/>
      <c r="V20" s="73"/>
      <c r="W20" s="73"/>
      <c r="X20" s="73"/>
    </row>
    <row r="21" spans="1:24" s="76" customFormat="1">
      <c r="A21" s="93"/>
      <c r="B21" s="78" t="s">
        <v>34</v>
      </c>
      <c r="C21" s="94" t="s">
        <v>61</v>
      </c>
      <c r="D21" s="68"/>
      <c r="E21" s="88"/>
      <c r="F21" s="68"/>
      <c r="G21" s="89"/>
      <c r="H21" s="89"/>
      <c r="I21" s="90"/>
      <c r="J21" s="68"/>
      <c r="K21" s="68"/>
      <c r="L21" s="74"/>
      <c r="M21" s="73"/>
      <c r="N21" s="73"/>
      <c r="O21" s="73"/>
      <c r="P21" s="73"/>
      <c r="Q21" s="73">
        <f>1000*2*2</f>
        <v>4000</v>
      </c>
      <c r="R21" s="73"/>
      <c r="S21" s="73"/>
      <c r="T21" s="73"/>
      <c r="U21" s="73"/>
      <c r="V21" s="73"/>
      <c r="W21" s="73"/>
      <c r="X21" s="73"/>
    </row>
    <row r="22" spans="1:24" s="76" customFormat="1">
      <c r="A22" s="93"/>
      <c r="B22" s="78" t="s">
        <v>34</v>
      </c>
      <c r="C22" s="79" t="s">
        <v>62</v>
      </c>
      <c r="D22" s="68"/>
      <c r="E22" s="88"/>
      <c r="F22" s="68"/>
      <c r="G22" s="89"/>
      <c r="H22" s="89"/>
      <c r="I22" s="90"/>
      <c r="J22" s="68"/>
      <c r="K22" s="68"/>
      <c r="L22" s="74"/>
      <c r="M22" s="73"/>
      <c r="N22" s="73"/>
      <c r="O22" s="73"/>
      <c r="P22" s="73"/>
      <c r="Q22" s="73">
        <f>50*50*2</f>
        <v>5000</v>
      </c>
      <c r="R22" s="73"/>
      <c r="S22" s="73"/>
      <c r="T22" s="73"/>
      <c r="U22" s="73"/>
      <c r="V22" s="73"/>
      <c r="W22" s="73"/>
      <c r="X22" s="73"/>
    </row>
    <row r="23" spans="1:24" s="76" customFormat="1">
      <c r="A23" s="93"/>
      <c r="B23" s="78" t="s">
        <v>34</v>
      </c>
      <c r="C23" s="79" t="s">
        <v>63</v>
      </c>
      <c r="D23" s="68"/>
      <c r="E23" s="88"/>
      <c r="F23" s="68"/>
      <c r="G23" s="89"/>
      <c r="H23" s="89"/>
      <c r="I23" s="90"/>
      <c r="J23" s="68"/>
      <c r="K23" s="68"/>
      <c r="L23" s="74"/>
      <c r="M23" s="73"/>
      <c r="N23" s="73"/>
      <c r="O23" s="73"/>
      <c r="P23" s="73"/>
      <c r="Q23" s="73">
        <f>25*50*4</f>
        <v>5000</v>
      </c>
      <c r="R23" s="73"/>
      <c r="S23" s="73"/>
      <c r="T23" s="73"/>
      <c r="U23" s="73"/>
      <c r="V23" s="73"/>
      <c r="W23" s="73"/>
      <c r="X23" s="73"/>
    </row>
    <row r="24" spans="1:24" s="76" customFormat="1">
      <c r="A24" s="93"/>
      <c r="B24" s="78" t="s">
        <v>34</v>
      </c>
      <c r="C24" s="94" t="s">
        <v>64</v>
      </c>
      <c r="D24" s="68"/>
      <c r="E24" s="88"/>
      <c r="F24" s="68"/>
      <c r="G24" s="89"/>
      <c r="H24" s="89"/>
      <c r="I24" s="90"/>
      <c r="J24" s="68"/>
      <c r="K24" s="68"/>
      <c r="L24" s="74"/>
      <c r="M24" s="73"/>
      <c r="N24" s="73"/>
      <c r="O24" s="73"/>
      <c r="P24" s="73"/>
      <c r="Q24" s="73">
        <v>0</v>
      </c>
      <c r="R24" s="73"/>
      <c r="S24" s="73"/>
      <c r="T24" s="73"/>
      <c r="U24" s="73"/>
      <c r="V24" s="73"/>
      <c r="W24" s="73"/>
      <c r="X24" s="73"/>
    </row>
    <row r="25" spans="1:24" s="76" customFormat="1">
      <c r="A25" s="95"/>
      <c r="B25" s="68" t="s">
        <v>34</v>
      </c>
      <c r="C25" s="94" t="s">
        <v>65</v>
      </c>
      <c r="D25" s="68"/>
      <c r="E25" s="88"/>
      <c r="F25" s="68"/>
      <c r="G25" s="89"/>
      <c r="H25" s="89"/>
      <c r="I25" s="90"/>
      <c r="J25" s="68"/>
      <c r="K25" s="68"/>
      <c r="L25" s="74"/>
      <c r="M25" s="73"/>
      <c r="N25" s="73"/>
      <c r="O25" s="73"/>
      <c r="P25" s="73"/>
      <c r="Q25" s="73">
        <v>0</v>
      </c>
      <c r="R25" s="73"/>
      <c r="S25" s="73"/>
      <c r="T25" s="73"/>
      <c r="U25" s="73"/>
      <c r="V25" s="73"/>
      <c r="W25" s="73"/>
      <c r="X25" s="73"/>
    </row>
    <row r="26" spans="1:24" s="76" customFormat="1" ht="62.25" customHeight="1">
      <c r="A26" s="66" t="s">
        <v>66</v>
      </c>
      <c r="B26" s="67" t="s">
        <v>55</v>
      </c>
      <c r="C26" s="68" t="s">
        <v>67</v>
      </c>
      <c r="D26" s="68"/>
      <c r="E26" s="88"/>
      <c r="F26" s="68"/>
      <c r="G26" s="89"/>
      <c r="H26" s="89"/>
      <c r="I26" s="90" t="s">
        <v>57</v>
      </c>
      <c r="J26" s="68"/>
      <c r="K26" s="68"/>
      <c r="L26" s="74"/>
      <c r="M26" s="73">
        <f>N26+O26+S26+T26+W26+X26</f>
        <v>18000</v>
      </c>
      <c r="N26" s="72">
        <v>0</v>
      </c>
      <c r="O26" s="91">
        <v>0</v>
      </c>
      <c r="P26" s="91">
        <v>0</v>
      </c>
      <c r="Q26" s="75">
        <f>SUM(Q27:Q30)</f>
        <v>17025</v>
      </c>
      <c r="R26" s="75">
        <f>SUM(Q31)</f>
        <v>975</v>
      </c>
      <c r="S26" s="73">
        <f>P26+Q26+R26</f>
        <v>18000</v>
      </c>
      <c r="T26" s="91">
        <v>0</v>
      </c>
      <c r="U26" s="91">
        <v>0</v>
      </c>
      <c r="V26" s="92">
        <v>0</v>
      </c>
      <c r="W26" s="92">
        <f>U26+V26</f>
        <v>0</v>
      </c>
      <c r="X26" s="92">
        <v>0</v>
      </c>
    </row>
    <row r="27" spans="1:24" s="76" customFormat="1">
      <c r="A27" s="93"/>
      <c r="B27" s="78" t="s">
        <v>34</v>
      </c>
      <c r="C27" s="94" t="s">
        <v>68</v>
      </c>
      <c r="D27" s="68"/>
      <c r="E27" s="88"/>
      <c r="F27" s="68"/>
      <c r="G27" s="89"/>
      <c r="H27" s="89"/>
      <c r="I27" s="90"/>
      <c r="J27" s="68"/>
      <c r="K27" s="68"/>
      <c r="L27" s="74"/>
      <c r="M27" s="73"/>
      <c r="N27" s="73"/>
      <c r="O27" s="73"/>
      <c r="P27" s="73"/>
      <c r="Q27" s="73">
        <f>35*20*8</f>
        <v>5600</v>
      </c>
      <c r="R27" s="73"/>
      <c r="S27" s="73"/>
      <c r="T27" s="73"/>
      <c r="U27" s="73"/>
      <c r="V27" s="73"/>
      <c r="W27" s="73"/>
      <c r="X27" s="73"/>
    </row>
    <row r="28" spans="1:24" s="76" customFormat="1">
      <c r="A28" s="93"/>
      <c r="B28" s="78" t="s">
        <v>34</v>
      </c>
      <c r="C28" s="94" t="s">
        <v>69</v>
      </c>
      <c r="D28" s="68"/>
      <c r="E28" s="88"/>
      <c r="F28" s="68"/>
      <c r="G28" s="89"/>
      <c r="H28" s="89"/>
      <c r="I28" s="90"/>
      <c r="J28" s="68"/>
      <c r="K28" s="68"/>
      <c r="L28" s="74"/>
      <c r="M28" s="73"/>
      <c r="N28" s="73"/>
      <c r="O28" s="73"/>
      <c r="P28" s="73"/>
      <c r="Q28" s="73">
        <f>35*55*1</f>
        <v>1925</v>
      </c>
      <c r="R28" s="73"/>
      <c r="S28" s="73"/>
      <c r="T28" s="73"/>
      <c r="U28" s="73"/>
      <c r="V28" s="73"/>
      <c r="W28" s="73"/>
      <c r="X28" s="73"/>
    </row>
    <row r="29" spans="1:24" s="76" customFormat="1">
      <c r="A29" s="93"/>
      <c r="B29" s="78" t="s">
        <v>34</v>
      </c>
      <c r="C29" s="94" t="s">
        <v>70</v>
      </c>
      <c r="D29" s="68"/>
      <c r="E29" s="88"/>
      <c r="F29" s="68"/>
      <c r="G29" s="89"/>
      <c r="H29" s="89"/>
      <c r="I29" s="90"/>
      <c r="J29" s="68"/>
      <c r="K29" s="68"/>
      <c r="L29" s="74"/>
      <c r="M29" s="73"/>
      <c r="N29" s="73"/>
      <c r="O29" s="73"/>
      <c r="P29" s="73"/>
      <c r="Q29" s="73">
        <f>25*20*8</f>
        <v>4000</v>
      </c>
      <c r="R29" s="73"/>
      <c r="S29" s="73"/>
      <c r="T29" s="73"/>
      <c r="U29" s="73"/>
      <c r="V29" s="73"/>
      <c r="W29" s="73"/>
      <c r="X29" s="73"/>
    </row>
    <row r="30" spans="1:24" s="76" customFormat="1">
      <c r="A30" s="93"/>
      <c r="B30" s="78" t="s">
        <v>34</v>
      </c>
      <c r="C30" s="94" t="s">
        <v>71</v>
      </c>
      <c r="D30" s="68"/>
      <c r="E30" s="88"/>
      <c r="F30" s="68"/>
      <c r="G30" s="89"/>
      <c r="H30" s="89"/>
      <c r="I30" s="90"/>
      <c r="J30" s="68"/>
      <c r="K30" s="68"/>
      <c r="L30" s="74"/>
      <c r="M30" s="73"/>
      <c r="N30" s="73"/>
      <c r="O30" s="73"/>
      <c r="P30" s="73"/>
      <c r="Q30" s="73">
        <f>25*55*4</f>
        <v>5500</v>
      </c>
      <c r="R30" s="73"/>
      <c r="S30" s="73"/>
      <c r="T30" s="73"/>
      <c r="U30" s="73"/>
      <c r="V30" s="73"/>
      <c r="W30" s="73"/>
      <c r="X30" s="73"/>
    </row>
    <row r="31" spans="1:24" s="76" customFormat="1">
      <c r="A31" s="95"/>
      <c r="B31" s="68" t="s">
        <v>34</v>
      </c>
      <c r="C31" s="94" t="s">
        <v>72</v>
      </c>
      <c r="D31" s="68"/>
      <c r="E31" s="88"/>
      <c r="F31" s="68"/>
      <c r="G31" s="89"/>
      <c r="H31" s="89"/>
      <c r="I31" s="90"/>
      <c r="J31" s="68"/>
      <c r="K31" s="68"/>
      <c r="L31" s="74"/>
      <c r="M31" s="73"/>
      <c r="N31" s="73"/>
      <c r="O31" s="73"/>
      <c r="P31" s="73"/>
      <c r="Q31" s="73">
        <f>1200-225</f>
        <v>975</v>
      </c>
      <c r="R31" s="73"/>
      <c r="S31" s="73"/>
      <c r="T31" s="73"/>
      <c r="U31" s="73"/>
      <c r="V31" s="73"/>
      <c r="W31" s="73"/>
      <c r="X31" s="73"/>
    </row>
    <row r="32" spans="1:24" s="76" customFormat="1" ht="42.75" customHeight="1">
      <c r="A32" s="66" t="s">
        <v>73</v>
      </c>
      <c r="B32" s="67" t="s">
        <v>55</v>
      </c>
      <c r="C32" s="96" t="s">
        <v>74</v>
      </c>
      <c r="D32" s="96"/>
      <c r="E32" s="97"/>
      <c r="F32" s="96"/>
      <c r="G32" s="98"/>
      <c r="H32" s="98"/>
      <c r="I32" s="90" t="s">
        <v>57</v>
      </c>
      <c r="J32" s="96"/>
      <c r="K32" s="96"/>
      <c r="L32" s="99"/>
      <c r="M32" s="73">
        <f>N32+O32+S32+T32+W32+X32</f>
        <v>80000</v>
      </c>
      <c r="N32" s="100">
        <v>0</v>
      </c>
      <c r="O32" s="101">
        <v>0</v>
      </c>
      <c r="P32" s="101">
        <v>0</v>
      </c>
      <c r="Q32" s="102">
        <f>SUM(Q33)</f>
        <v>2400</v>
      </c>
      <c r="R32" s="102">
        <f>SUM(Q34:Q37)</f>
        <v>72600</v>
      </c>
      <c r="S32" s="73">
        <f>P32+Q32+R32</f>
        <v>75000</v>
      </c>
      <c r="T32" s="101">
        <f>Q38</f>
        <v>5000</v>
      </c>
      <c r="U32" s="101">
        <v>0</v>
      </c>
      <c r="V32" s="92">
        <v>0</v>
      </c>
      <c r="W32" s="92">
        <f>U32+V32</f>
        <v>0</v>
      </c>
      <c r="X32" s="92">
        <v>0</v>
      </c>
    </row>
    <row r="33" spans="1:24" s="76" customFormat="1">
      <c r="A33" s="93"/>
      <c r="B33" s="78" t="s">
        <v>34</v>
      </c>
      <c r="C33" s="94" t="s">
        <v>75</v>
      </c>
      <c r="D33" s="68"/>
      <c r="E33" s="88"/>
      <c r="F33" s="68"/>
      <c r="G33" s="89"/>
      <c r="H33" s="89"/>
      <c r="I33" s="90"/>
      <c r="J33" s="68"/>
      <c r="K33" s="68"/>
      <c r="L33" s="74"/>
      <c r="M33" s="73"/>
      <c r="N33" s="73"/>
      <c r="O33" s="73"/>
      <c r="P33" s="73"/>
      <c r="Q33" s="73">
        <f>120*20*1</f>
        <v>2400</v>
      </c>
      <c r="R33" s="73"/>
      <c r="S33" s="73"/>
      <c r="T33" s="73"/>
      <c r="U33" s="73"/>
      <c r="V33" s="73"/>
      <c r="W33" s="73"/>
      <c r="X33" s="73"/>
    </row>
    <row r="34" spans="1:24" s="76" customFormat="1">
      <c r="A34" s="93"/>
      <c r="B34" s="78" t="s">
        <v>34</v>
      </c>
      <c r="C34" s="94" t="s">
        <v>76</v>
      </c>
      <c r="D34" s="68"/>
      <c r="E34" s="88"/>
      <c r="F34" s="68"/>
      <c r="G34" s="89"/>
      <c r="H34" s="89"/>
      <c r="I34" s="90"/>
      <c r="J34" s="68"/>
      <c r="K34" s="68"/>
      <c r="L34" s="74"/>
      <c r="M34" s="73"/>
      <c r="N34" s="73"/>
      <c r="O34" s="73"/>
      <c r="P34" s="73"/>
      <c r="Q34" s="73">
        <v>50000</v>
      </c>
      <c r="R34" s="73"/>
      <c r="S34" s="73"/>
      <c r="T34" s="73"/>
      <c r="U34" s="73"/>
      <c r="V34" s="73"/>
      <c r="W34" s="73"/>
      <c r="X34" s="73"/>
    </row>
    <row r="35" spans="1:24" s="76" customFormat="1">
      <c r="A35" s="93"/>
      <c r="B35" s="78" t="s">
        <v>34</v>
      </c>
      <c r="C35" s="94" t="s">
        <v>72</v>
      </c>
      <c r="D35" s="68"/>
      <c r="E35" s="88"/>
      <c r="F35" s="68"/>
      <c r="G35" s="89"/>
      <c r="H35" s="89"/>
      <c r="I35" s="90"/>
      <c r="J35" s="68"/>
      <c r="K35" s="68"/>
      <c r="L35" s="74"/>
      <c r="M35" s="73"/>
      <c r="N35" s="73"/>
      <c r="O35" s="73"/>
      <c r="P35" s="73"/>
      <c r="Q35" s="73">
        <v>5000</v>
      </c>
      <c r="R35" s="73"/>
      <c r="S35" s="73"/>
      <c r="T35" s="73"/>
      <c r="U35" s="73"/>
      <c r="V35" s="73"/>
      <c r="W35" s="73"/>
      <c r="X35" s="73"/>
    </row>
    <row r="36" spans="1:24" s="76" customFormat="1">
      <c r="A36" s="93"/>
      <c r="B36" s="78" t="s">
        <v>34</v>
      </c>
      <c r="C36" s="94" t="s">
        <v>77</v>
      </c>
      <c r="D36" s="68"/>
      <c r="E36" s="88"/>
      <c r="F36" s="68"/>
      <c r="G36" s="89"/>
      <c r="H36" s="89"/>
      <c r="I36" s="90"/>
      <c r="J36" s="68"/>
      <c r="K36" s="68"/>
      <c r="L36" s="74"/>
      <c r="M36" s="73"/>
      <c r="N36" s="73"/>
      <c r="O36" s="73"/>
      <c r="P36" s="73"/>
      <c r="Q36" s="73">
        <v>4000</v>
      </c>
      <c r="R36" s="73"/>
      <c r="S36" s="73"/>
      <c r="T36" s="73"/>
      <c r="U36" s="73"/>
      <c r="V36" s="73"/>
      <c r="W36" s="73"/>
      <c r="X36" s="73"/>
    </row>
    <row r="37" spans="1:24" s="76" customFormat="1">
      <c r="A37" s="93"/>
      <c r="B37" s="78" t="s">
        <v>34</v>
      </c>
      <c r="C37" s="94" t="s">
        <v>78</v>
      </c>
      <c r="D37" s="68"/>
      <c r="E37" s="88"/>
      <c r="F37" s="68"/>
      <c r="G37" s="89"/>
      <c r="H37" s="89"/>
      <c r="I37" s="90"/>
      <c r="J37" s="68"/>
      <c r="K37" s="68"/>
      <c r="L37" s="74"/>
      <c r="M37" s="73"/>
      <c r="N37" s="73"/>
      <c r="O37" s="73"/>
      <c r="P37" s="73"/>
      <c r="Q37" s="73">
        <v>13600</v>
      </c>
      <c r="R37" s="73"/>
      <c r="S37" s="73"/>
      <c r="T37" s="73"/>
      <c r="U37" s="73"/>
      <c r="V37" s="73"/>
      <c r="W37" s="73"/>
      <c r="X37" s="73"/>
    </row>
    <row r="38" spans="1:24" s="76" customFormat="1">
      <c r="A38" s="95"/>
      <c r="B38" s="68" t="s">
        <v>34</v>
      </c>
      <c r="C38" s="94" t="s">
        <v>79</v>
      </c>
      <c r="D38" s="68"/>
      <c r="E38" s="88"/>
      <c r="F38" s="68"/>
      <c r="G38" s="89"/>
      <c r="H38" s="89"/>
      <c r="I38" s="90"/>
      <c r="J38" s="68"/>
      <c r="K38" s="68"/>
      <c r="L38" s="74"/>
      <c r="M38" s="73"/>
      <c r="N38" s="73"/>
      <c r="O38" s="73"/>
      <c r="P38" s="73"/>
      <c r="Q38" s="73">
        <v>5000</v>
      </c>
      <c r="R38" s="73"/>
      <c r="S38" s="73"/>
      <c r="T38" s="73"/>
      <c r="U38" s="73"/>
      <c r="V38" s="73"/>
      <c r="W38" s="73"/>
      <c r="X38" s="73"/>
    </row>
    <row r="39" spans="1:24" s="76" customFormat="1" ht="42" customHeight="1">
      <c r="A39" s="66" t="s">
        <v>80</v>
      </c>
      <c r="B39" s="308" t="s">
        <v>81</v>
      </c>
      <c r="C39" s="68" t="s">
        <v>82</v>
      </c>
      <c r="D39" s="103" t="s">
        <v>83</v>
      </c>
      <c r="E39" s="104" t="s">
        <v>84</v>
      </c>
      <c r="F39" s="68" t="s">
        <v>85</v>
      </c>
      <c r="G39" s="89"/>
      <c r="H39" s="89"/>
      <c r="I39" s="90"/>
      <c r="J39" s="68"/>
      <c r="K39" s="68"/>
      <c r="L39" s="74"/>
      <c r="M39" s="74">
        <f>Q39</f>
        <v>6000</v>
      </c>
      <c r="N39" s="72">
        <v>0</v>
      </c>
      <c r="O39" s="91">
        <v>0</v>
      </c>
      <c r="P39" s="91">
        <v>0</v>
      </c>
      <c r="Q39" s="75">
        <f>SUM(Q40:Q41)</f>
        <v>6000</v>
      </c>
      <c r="R39" s="75">
        <v>0</v>
      </c>
      <c r="S39" s="73">
        <f>P39+Q39+R39</f>
        <v>6000</v>
      </c>
      <c r="T39" s="91">
        <v>0</v>
      </c>
      <c r="U39" s="91">
        <v>0</v>
      </c>
      <c r="V39" s="92">
        <v>0</v>
      </c>
      <c r="W39" s="92">
        <f>U39+V39</f>
        <v>0</v>
      </c>
      <c r="X39" s="92">
        <v>0</v>
      </c>
    </row>
    <row r="40" spans="1:24" s="76" customFormat="1">
      <c r="A40" s="93"/>
      <c r="B40" s="78" t="s">
        <v>34</v>
      </c>
      <c r="C40" s="94" t="s">
        <v>86</v>
      </c>
      <c r="D40" s="68"/>
      <c r="E40" s="88"/>
      <c r="F40" s="68"/>
      <c r="G40" s="89"/>
      <c r="H40" s="89"/>
      <c r="I40" s="90"/>
      <c r="J40" s="68"/>
      <c r="K40" s="68"/>
      <c r="L40" s="74"/>
      <c r="M40" s="73"/>
      <c r="N40" s="73"/>
      <c r="O40" s="73"/>
      <c r="P40" s="73"/>
      <c r="Q40" s="73">
        <f>100*25</f>
        <v>2500</v>
      </c>
      <c r="R40" s="73"/>
      <c r="S40" s="73"/>
      <c r="T40" s="73"/>
      <c r="U40" s="73"/>
      <c r="V40" s="73"/>
      <c r="W40" s="73"/>
      <c r="X40" s="73"/>
    </row>
    <row r="41" spans="1:24" s="76" customFormat="1">
      <c r="A41" s="95"/>
      <c r="B41" s="68" t="s">
        <v>34</v>
      </c>
      <c r="C41" s="94" t="s">
        <v>87</v>
      </c>
      <c r="D41" s="68"/>
      <c r="E41" s="88"/>
      <c r="F41" s="68"/>
      <c r="G41" s="89"/>
      <c r="H41" s="89"/>
      <c r="I41" s="90"/>
      <c r="J41" s="68"/>
      <c r="K41" s="68"/>
      <c r="L41" s="74"/>
      <c r="M41" s="73"/>
      <c r="N41" s="73"/>
      <c r="O41" s="73"/>
      <c r="P41" s="73"/>
      <c r="Q41" s="73">
        <f>35*100</f>
        <v>3500</v>
      </c>
      <c r="R41" s="73"/>
      <c r="S41" s="73"/>
      <c r="T41" s="73"/>
      <c r="U41" s="73"/>
      <c r="V41" s="73"/>
      <c r="W41" s="73"/>
      <c r="X41" s="73"/>
    </row>
    <row r="42" spans="1:24" s="76" customFormat="1" ht="45" customHeight="1">
      <c r="A42" s="66" t="s">
        <v>88</v>
      </c>
      <c r="B42" s="310" t="s">
        <v>89</v>
      </c>
      <c r="C42" s="68" t="s">
        <v>90</v>
      </c>
      <c r="D42" s="68" t="s">
        <v>91</v>
      </c>
      <c r="E42" s="88" t="s">
        <v>92</v>
      </c>
      <c r="F42" s="68" t="s">
        <v>93</v>
      </c>
      <c r="G42" s="89"/>
      <c r="H42" s="89"/>
      <c r="I42" s="90" t="s">
        <v>57</v>
      </c>
      <c r="J42" s="68"/>
      <c r="K42" s="68"/>
      <c r="L42" s="74"/>
      <c r="M42" s="74">
        <f>N42+O42+S42+T42+W42+X42</f>
        <v>20360</v>
      </c>
      <c r="N42" s="74">
        <v>0</v>
      </c>
      <c r="O42" s="75">
        <v>0</v>
      </c>
      <c r="P42" s="75">
        <f>SUM(Q43)</f>
        <v>1600</v>
      </c>
      <c r="Q42" s="75">
        <f>SUM(Q44:Q48)</f>
        <v>18760</v>
      </c>
      <c r="R42" s="75">
        <v>0</v>
      </c>
      <c r="S42" s="75">
        <f>SUM(P42:R42)</f>
        <v>20360</v>
      </c>
      <c r="T42" s="75">
        <v>0</v>
      </c>
      <c r="U42" s="75">
        <v>0</v>
      </c>
      <c r="V42" s="73">
        <v>0</v>
      </c>
      <c r="W42" s="73">
        <f>SUM(U42:V42)</f>
        <v>0</v>
      </c>
      <c r="X42" s="73"/>
    </row>
    <row r="43" spans="1:24" s="76" customFormat="1">
      <c r="A43" s="105"/>
      <c r="B43" s="78" t="s">
        <v>34</v>
      </c>
      <c r="C43" s="103" t="s">
        <v>94</v>
      </c>
      <c r="D43" s="68"/>
      <c r="E43" s="88"/>
      <c r="F43" s="68"/>
      <c r="G43" s="89"/>
      <c r="H43" s="106"/>
      <c r="I43" s="107"/>
      <c r="J43" s="68"/>
      <c r="K43" s="68"/>
      <c r="L43" s="74"/>
      <c r="M43" s="73"/>
      <c r="N43" s="73"/>
      <c r="O43" s="73"/>
      <c r="P43" s="73"/>
      <c r="Q43" s="73">
        <f>400*4*1</f>
        <v>1600</v>
      </c>
      <c r="R43" s="73"/>
      <c r="S43" s="73"/>
      <c r="T43" s="73"/>
      <c r="U43" s="73"/>
      <c r="V43" s="73"/>
      <c r="W43" s="73"/>
      <c r="X43" s="73"/>
    </row>
    <row r="44" spans="1:24" s="76" customFormat="1">
      <c r="A44" s="105"/>
      <c r="B44" s="78" t="s">
        <v>34</v>
      </c>
      <c r="C44" s="94" t="s">
        <v>95</v>
      </c>
      <c r="D44" s="68"/>
      <c r="E44" s="88"/>
      <c r="F44" s="68"/>
      <c r="G44" s="89"/>
      <c r="H44" s="106"/>
      <c r="I44" s="107"/>
      <c r="J44" s="68"/>
      <c r="K44" s="68"/>
      <c r="L44" s="74"/>
      <c r="M44" s="73"/>
      <c r="N44" s="73"/>
      <c r="O44" s="73"/>
      <c r="P44" s="73"/>
      <c r="Q44" s="73">
        <f>20*2*110</f>
        <v>4400</v>
      </c>
      <c r="R44" s="73"/>
      <c r="S44" s="73"/>
      <c r="T44" s="73"/>
      <c r="U44" s="73"/>
      <c r="V44" s="73"/>
      <c r="W44" s="73"/>
      <c r="X44" s="73"/>
    </row>
    <row r="45" spans="1:24" s="76" customFormat="1">
      <c r="A45" s="108"/>
      <c r="B45" s="68" t="s">
        <v>34</v>
      </c>
      <c r="C45" s="94" t="s">
        <v>96</v>
      </c>
      <c r="D45" s="68"/>
      <c r="E45" s="88"/>
      <c r="F45" s="68"/>
      <c r="G45" s="89"/>
      <c r="H45" s="106"/>
      <c r="I45" s="107"/>
      <c r="J45" s="68"/>
      <c r="K45" s="68"/>
      <c r="L45" s="74"/>
      <c r="M45" s="73"/>
      <c r="N45" s="73"/>
      <c r="O45" s="73"/>
      <c r="P45" s="73"/>
      <c r="Q45" s="73">
        <f>50*110*1</f>
        <v>5500</v>
      </c>
      <c r="R45" s="73"/>
      <c r="S45" s="73"/>
      <c r="T45" s="73"/>
      <c r="U45" s="73"/>
      <c r="V45" s="73"/>
      <c r="W45" s="73"/>
      <c r="X45" s="73"/>
    </row>
    <row r="46" spans="1:24" s="76" customFormat="1">
      <c r="A46" s="105"/>
      <c r="B46" s="78" t="s">
        <v>34</v>
      </c>
      <c r="C46" s="94" t="s">
        <v>97</v>
      </c>
      <c r="D46" s="68"/>
      <c r="E46" s="88"/>
      <c r="F46" s="68"/>
      <c r="G46" s="89"/>
      <c r="H46" s="106"/>
      <c r="I46" s="107"/>
      <c r="J46" s="68"/>
      <c r="K46" s="68"/>
      <c r="L46" s="74"/>
      <c r="M46" s="73"/>
      <c r="N46" s="73"/>
      <c r="O46" s="73"/>
      <c r="P46" s="73"/>
      <c r="Q46" s="73">
        <v>6000</v>
      </c>
      <c r="R46" s="73"/>
      <c r="S46" s="73"/>
      <c r="T46" s="73"/>
      <c r="U46" s="73"/>
      <c r="V46" s="73"/>
      <c r="W46" s="73"/>
      <c r="X46" s="73"/>
    </row>
    <row r="47" spans="1:24" s="76" customFormat="1">
      <c r="A47" s="105"/>
      <c r="B47" s="78" t="s">
        <v>34</v>
      </c>
      <c r="C47" s="94" t="s">
        <v>98</v>
      </c>
      <c r="D47" s="68"/>
      <c r="E47" s="88"/>
      <c r="F47" s="68"/>
      <c r="G47" s="89"/>
      <c r="H47" s="106"/>
      <c r="I47" s="107"/>
      <c r="J47" s="68"/>
      <c r="K47" s="68"/>
      <c r="L47" s="74"/>
      <c r="M47" s="73"/>
      <c r="N47" s="73"/>
      <c r="O47" s="73"/>
      <c r="P47" s="73"/>
      <c r="Q47" s="73">
        <f>120*3*1</f>
        <v>360</v>
      </c>
      <c r="R47" s="73"/>
      <c r="S47" s="73"/>
      <c r="T47" s="73"/>
      <c r="U47" s="73"/>
      <c r="V47" s="73"/>
      <c r="W47" s="73"/>
      <c r="X47" s="73"/>
    </row>
    <row r="48" spans="1:24" s="76" customFormat="1">
      <c r="A48" s="108"/>
      <c r="B48" s="68" t="s">
        <v>34</v>
      </c>
      <c r="C48" s="94" t="s">
        <v>99</v>
      </c>
      <c r="D48" s="68"/>
      <c r="E48" s="88"/>
      <c r="F48" s="68"/>
      <c r="G48" s="89"/>
      <c r="H48" s="106"/>
      <c r="I48" s="107"/>
      <c r="J48" s="68"/>
      <c r="K48" s="68"/>
      <c r="L48" s="74"/>
      <c r="M48" s="73"/>
      <c r="N48" s="73"/>
      <c r="O48" s="73"/>
      <c r="P48" s="73"/>
      <c r="Q48" s="73">
        <v>2500</v>
      </c>
      <c r="R48" s="73"/>
      <c r="S48" s="73"/>
      <c r="T48" s="73"/>
      <c r="U48" s="73"/>
      <c r="V48" s="73"/>
      <c r="W48" s="73"/>
      <c r="X48" s="73"/>
    </row>
    <row r="49" spans="1:24" s="76" customFormat="1" ht="42.75" customHeight="1">
      <c r="A49" s="66" t="s">
        <v>100</v>
      </c>
      <c r="B49" s="310" t="s">
        <v>101</v>
      </c>
      <c r="C49" s="68" t="s">
        <v>102</v>
      </c>
      <c r="D49" s="68"/>
      <c r="E49" s="88"/>
      <c r="F49" s="68"/>
      <c r="G49" s="89"/>
      <c r="H49" s="89"/>
      <c r="I49" s="90" t="s">
        <v>57</v>
      </c>
      <c r="J49" s="68"/>
      <c r="K49" s="68"/>
      <c r="L49" s="74"/>
      <c r="M49" s="74">
        <f>N49+O49+S49+T49+W49+X49</f>
        <v>80000</v>
      </c>
      <c r="N49" s="74">
        <v>0</v>
      </c>
      <c r="O49" s="75">
        <v>0</v>
      </c>
      <c r="P49" s="75">
        <v>0</v>
      </c>
      <c r="Q49" s="75">
        <f>SUM(Q50:Q51)</f>
        <v>80000</v>
      </c>
      <c r="R49" s="75">
        <v>0</v>
      </c>
      <c r="S49" s="75">
        <f>SUM(P49:R49)</f>
        <v>80000</v>
      </c>
      <c r="T49" s="75">
        <v>0</v>
      </c>
      <c r="U49" s="75">
        <v>0</v>
      </c>
      <c r="V49" s="73">
        <v>0</v>
      </c>
      <c r="W49" s="73">
        <f>SUM(U49:V49)</f>
        <v>0</v>
      </c>
      <c r="X49" s="73">
        <v>0</v>
      </c>
    </row>
    <row r="50" spans="1:24" s="76" customFormat="1" ht="37.5">
      <c r="A50" s="93"/>
      <c r="B50" s="78"/>
      <c r="C50" s="94" t="s">
        <v>103</v>
      </c>
      <c r="D50" s="68"/>
      <c r="E50" s="88"/>
      <c r="F50" s="68"/>
      <c r="G50" s="89"/>
      <c r="H50" s="89"/>
      <c r="I50" s="90"/>
      <c r="J50" s="68"/>
      <c r="K50" s="68"/>
      <c r="L50" s="74"/>
      <c r="M50" s="74"/>
      <c r="N50" s="74"/>
      <c r="O50" s="75"/>
      <c r="P50" s="75"/>
      <c r="Q50" s="75">
        <v>50000</v>
      </c>
      <c r="R50" s="75"/>
      <c r="S50" s="75"/>
      <c r="T50" s="75"/>
      <c r="U50" s="75"/>
      <c r="V50" s="73"/>
      <c r="W50" s="73"/>
      <c r="X50" s="73"/>
    </row>
    <row r="51" spans="1:24" s="76" customFormat="1" ht="37.5">
      <c r="A51" s="95"/>
      <c r="B51" s="68"/>
      <c r="C51" s="94" t="s">
        <v>104</v>
      </c>
      <c r="D51" s="68"/>
      <c r="E51" s="88"/>
      <c r="F51" s="68"/>
      <c r="G51" s="89"/>
      <c r="H51" s="89"/>
      <c r="I51" s="90"/>
      <c r="J51" s="68"/>
      <c r="K51" s="68"/>
      <c r="L51" s="74"/>
      <c r="M51" s="74"/>
      <c r="N51" s="74"/>
      <c r="O51" s="75"/>
      <c r="P51" s="75"/>
      <c r="Q51" s="75">
        <v>30000</v>
      </c>
      <c r="R51" s="75"/>
      <c r="S51" s="75"/>
      <c r="T51" s="75"/>
      <c r="U51" s="75"/>
      <c r="V51" s="73"/>
      <c r="W51" s="73"/>
      <c r="X51" s="73"/>
    </row>
    <row r="52" spans="1:24" s="76" customFormat="1" ht="23.25" customHeight="1">
      <c r="A52" s="66" t="s">
        <v>105</v>
      </c>
      <c r="B52" s="308" t="s">
        <v>455</v>
      </c>
      <c r="C52" s="68" t="s">
        <v>107</v>
      </c>
      <c r="D52" s="68"/>
      <c r="E52" s="88"/>
      <c r="F52" s="68"/>
      <c r="G52" s="89"/>
      <c r="H52" s="89"/>
      <c r="I52" s="90" t="s">
        <v>57</v>
      </c>
      <c r="J52" s="68"/>
      <c r="K52" s="68"/>
      <c r="L52" s="74"/>
      <c r="M52" s="74">
        <f>N52+O52+S52+T52+W52+X52</f>
        <v>350000</v>
      </c>
      <c r="N52" s="74">
        <v>0</v>
      </c>
      <c r="O52" s="75">
        <v>0</v>
      </c>
      <c r="P52" s="75">
        <v>0</v>
      </c>
      <c r="Q52" s="75">
        <f>Q53</f>
        <v>350000</v>
      </c>
      <c r="R52" s="75">
        <v>0</v>
      </c>
      <c r="S52" s="75">
        <f>SUM(P52:R52)</f>
        <v>350000</v>
      </c>
      <c r="T52" s="75"/>
      <c r="U52" s="75"/>
      <c r="V52" s="73"/>
      <c r="W52" s="73"/>
      <c r="X52" s="73"/>
    </row>
    <row r="53" spans="1:24" s="76" customFormat="1">
      <c r="A53" s="95"/>
      <c r="B53" s="68" t="s">
        <v>34</v>
      </c>
      <c r="C53" s="109" t="s">
        <v>108</v>
      </c>
      <c r="D53" s="78"/>
      <c r="E53" s="110"/>
      <c r="F53" s="111">
        <v>450000</v>
      </c>
      <c r="G53" s="106"/>
      <c r="H53" s="106"/>
      <c r="I53" s="107"/>
      <c r="J53" s="78"/>
      <c r="K53" s="78"/>
      <c r="L53" s="111"/>
      <c r="M53" s="99"/>
      <c r="N53" s="111"/>
      <c r="O53" s="112"/>
      <c r="P53" s="112"/>
      <c r="Q53" s="112">
        <v>350000</v>
      </c>
      <c r="R53" s="112"/>
      <c r="S53" s="112"/>
      <c r="T53" s="112"/>
      <c r="U53" s="112"/>
      <c r="V53" s="113"/>
      <c r="W53" s="113"/>
      <c r="X53" s="113"/>
    </row>
    <row r="54" spans="1:24" s="117" customFormat="1" ht="63">
      <c r="A54" s="114" t="s">
        <v>109</v>
      </c>
      <c r="B54" s="115" t="s">
        <v>41</v>
      </c>
      <c r="C54" s="115" t="s">
        <v>110</v>
      </c>
      <c r="D54" s="115"/>
      <c r="E54" s="115"/>
      <c r="F54" s="115"/>
      <c r="G54" s="115"/>
      <c r="H54" s="115"/>
      <c r="I54" s="115"/>
      <c r="J54" s="115"/>
      <c r="K54" s="115"/>
      <c r="L54" s="115"/>
      <c r="M54" s="74">
        <f>N54+O54+S54+T54+W54+X54</f>
        <v>100000</v>
      </c>
      <c r="N54" s="116">
        <v>0</v>
      </c>
      <c r="O54" s="116">
        <v>0</v>
      </c>
      <c r="P54" s="116">
        <v>0</v>
      </c>
      <c r="Q54" s="73">
        <v>100000</v>
      </c>
      <c r="R54" s="116">
        <v>0</v>
      </c>
      <c r="S54" s="102">
        <f>SUM(P54:R54)</f>
        <v>100000</v>
      </c>
      <c r="T54" s="116">
        <v>0</v>
      </c>
      <c r="U54" s="116">
        <v>0</v>
      </c>
      <c r="V54" s="116">
        <v>0</v>
      </c>
      <c r="W54" s="116">
        <f>U54+V54</f>
        <v>0</v>
      </c>
      <c r="X54" s="116">
        <v>0</v>
      </c>
    </row>
    <row r="55" spans="1:24" s="76" customFormat="1" ht="67.5" customHeight="1">
      <c r="A55" s="66" t="s">
        <v>111</v>
      </c>
      <c r="B55" s="118" t="s">
        <v>55</v>
      </c>
      <c r="C55" s="119" t="s">
        <v>112</v>
      </c>
      <c r="D55" s="120"/>
      <c r="E55" s="121"/>
      <c r="F55" s="120"/>
      <c r="G55" s="18"/>
      <c r="H55" s="18"/>
      <c r="I55" s="120"/>
      <c r="J55" s="120"/>
      <c r="K55" s="120"/>
      <c r="L55" s="122"/>
      <c r="M55" s="74">
        <f>N55+O55+S55+T55+W55+X55</f>
        <v>45600</v>
      </c>
      <c r="N55" s="123">
        <v>0</v>
      </c>
      <c r="O55" s="123">
        <v>0</v>
      </c>
      <c r="P55" s="123">
        <v>0</v>
      </c>
      <c r="Q55" s="124">
        <f>SUM(Q56:Q59)</f>
        <v>45600</v>
      </c>
      <c r="R55" s="123">
        <v>0</v>
      </c>
      <c r="S55" s="75">
        <f>SUM(P55:R55)</f>
        <v>45600</v>
      </c>
      <c r="T55" s="123">
        <v>0</v>
      </c>
      <c r="U55" s="123">
        <v>0</v>
      </c>
      <c r="V55" s="123">
        <v>0</v>
      </c>
      <c r="W55" s="123">
        <f>U55+V55</f>
        <v>0</v>
      </c>
      <c r="X55" s="123">
        <v>0</v>
      </c>
    </row>
    <row r="56" spans="1:24" s="76" customFormat="1">
      <c r="A56" s="93"/>
      <c r="B56" s="125" t="s">
        <v>34</v>
      </c>
      <c r="C56" s="126" t="s">
        <v>113</v>
      </c>
      <c r="D56" s="96"/>
      <c r="E56" s="97"/>
      <c r="F56" s="96"/>
      <c r="G56" s="98"/>
      <c r="H56" s="98"/>
      <c r="I56" s="90"/>
      <c r="J56" s="96"/>
      <c r="K56" s="96"/>
      <c r="L56" s="99"/>
      <c r="M56" s="99"/>
      <c r="N56" s="99"/>
      <c r="O56" s="102"/>
      <c r="P56" s="102"/>
      <c r="Q56" s="102">
        <f>4*1200*2</f>
        <v>9600</v>
      </c>
      <c r="R56" s="102"/>
      <c r="S56" s="102"/>
      <c r="T56" s="102"/>
      <c r="U56" s="102"/>
      <c r="V56" s="73"/>
      <c r="W56" s="73"/>
      <c r="X56" s="73"/>
    </row>
    <row r="57" spans="1:24" s="76" customFormat="1">
      <c r="A57" s="93"/>
      <c r="B57" s="125" t="s">
        <v>34</v>
      </c>
      <c r="C57" s="94" t="s">
        <v>114</v>
      </c>
      <c r="D57" s="68"/>
      <c r="E57" s="88"/>
      <c r="F57" s="68"/>
      <c r="G57" s="89"/>
      <c r="H57" s="89"/>
      <c r="I57" s="90"/>
      <c r="J57" s="68"/>
      <c r="K57" s="68"/>
      <c r="L57" s="74"/>
      <c r="M57" s="74"/>
      <c r="N57" s="74"/>
      <c r="O57" s="75"/>
      <c r="P57" s="75"/>
      <c r="Q57" s="75">
        <f>6000*4</f>
        <v>24000</v>
      </c>
      <c r="R57" s="75"/>
      <c r="S57" s="75"/>
      <c r="T57" s="75"/>
      <c r="U57" s="75"/>
      <c r="V57" s="73"/>
      <c r="W57" s="73"/>
      <c r="X57" s="73"/>
    </row>
    <row r="58" spans="1:24" s="76" customFormat="1">
      <c r="A58" s="93"/>
      <c r="B58" s="125" t="s">
        <v>34</v>
      </c>
      <c r="C58" s="94" t="s">
        <v>115</v>
      </c>
      <c r="D58" s="68"/>
      <c r="E58" s="88"/>
      <c r="F58" s="68"/>
      <c r="G58" s="89"/>
      <c r="H58" s="89"/>
      <c r="I58" s="90"/>
      <c r="J58" s="68"/>
      <c r="K58" s="68"/>
      <c r="L58" s="74"/>
      <c r="M58" s="74"/>
      <c r="N58" s="74"/>
      <c r="O58" s="75"/>
      <c r="P58" s="75"/>
      <c r="Q58" s="75">
        <f>50*4*40</f>
        <v>8000</v>
      </c>
      <c r="R58" s="75"/>
      <c r="S58" s="75"/>
      <c r="T58" s="75"/>
      <c r="U58" s="75"/>
      <c r="V58" s="73"/>
      <c r="W58" s="73"/>
      <c r="X58" s="73"/>
    </row>
    <row r="59" spans="1:24" s="76" customFormat="1">
      <c r="A59" s="95"/>
      <c r="B59" s="127" t="s">
        <v>34</v>
      </c>
      <c r="C59" s="94" t="s">
        <v>116</v>
      </c>
      <c r="D59" s="68"/>
      <c r="E59" s="88"/>
      <c r="F59" s="68"/>
      <c r="G59" s="89"/>
      <c r="H59" s="89"/>
      <c r="I59" s="90"/>
      <c r="J59" s="68"/>
      <c r="K59" s="68"/>
      <c r="L59" s="74"/>
      <c r="M59" s="74"/>
      <c r="N59" s="74"/>
      <c r="O59" s="75"/>
      <c r="P59" s="75"/>
      <c r="Q59" s="75">
        <f>25*4*40</f>
        <v>4000</v>
      </c>
      <c r="R59" s="75"/>
      <c r="S59" s="75"/>
      <c r="T59" s="75"/>
      <c r="U59" s="75"/>
      <c r="V59" s="73"/>
      <c r="W59" s="73"/>
      <c r="X59" s="73"/>
    </row>
    <row r="60" spans="1:24" s="135" customFormat="1" ht="47.25" customHeight="1">
      <c r="A60" s="128" t="s">
        <v>117</v>
      </c>
      <c r="B60" s="311" t="s">
        <v>89</v>
      </c>
      <c r="C60" s="129" t="s">
        <v>118</v>
      </c>
      <c r="D60" s="130" t="s">
        <v>119</v>
      </c>
      <c r="E60" s="130" t="s">
        <v>120</v>
      </c>
      <c r="F60" s="129" t="s">
        <v>121</v>
      </c>
      <c r="G60" s="131"/>
      <c r="H60" s="131"/>
      <c r="I60" s="132"/>
      <c r="J60" s="129"/>
      <c r="K60" s="129"/>
      <c r="L60" s="133"/>
      <c r="M60" s="74">
        <f>N60+O60+S60+T60+W60+X60</f>
        <v>31800</v>
      </c>
      <c r="N60" s="134">
        <v>0</v>
      </c>
      <c r="O60" s="134">
        <v>0</v>
      </c>
      <c r="P60" s="134">
        <f>SUM(Q61)</f>
        <v>7200</v>
      </c>
      <c r="Q60" s="134">
        <f>SUM(Q62:Q65)</f>
        <v>24600</v>
      </c>
      <c r="R60" s="134">
        <v>0</v>
      </c>
      <c r="S60" s="134">
        <f>SUM(P60:R60)</f>
        <v>31800</v>
      </c>
      <c r="T60" s="134">
        <v>0</v>
      </c>
      <c r="U60" s="134">
        <v>0</v>
      </c>
      <c r="V60" s="134">
        <v>0</v>
      </c>
      <c r="W60" s="134">
        <f>U60+V60</f>
        <v>0</v>
      </c>
      <c r="X60" s="134">
        <v>0</v>
      </c>
    </row>
    <row r="61" spans="1:24" s="76" customFormat="1">
      <c r="A61" s="93"/>
      <c r="B61" s="78" t="s">
        <v>34</v>
      </c>
      <c r="C61" s="136" t="s">
        <v>122</v>
      </c>
      <c r="D61" s="68"/>
      <c r="E61" s="88"/>
      <c r="F61" s="68"/>
      <c r="G61" s="89"/>
      <c r="H61" s="89"/>
      <c r="I61" s="90"/>
      <c r="J61" s="68"/>
      <c r="K61" s="68"/>
      <c r="L61" s="74"/>
      <c r="M61" s="73"/>
      <c r="N61" s="73"/>
      <c r="O61" s="73"/>
      <c r="P61" s="73"/>
      <c r="Q61" s="73">
        <f>1200*6</f>
        <v>7200</v>
      </c>
      <c r="R61" s="73"/>
      <c r="S61" s="73"/>
      <c r="T61" s="73"/>
      <c r="U61" s="73"/>
      <c r="V61" s="73"/>
      <c r="W61" s="73"/>
      <c r="X61" s="73"/>
    </row>
    <row r="62" spans="1:24" s="76" customFormat="1">
      <c r="A62" s="93"/>
      <c r="B62" s="78" t="s">
        <v>34</v>
      </c>
      <c r="C62" s="96" t="s">
        <v>123</v>
      </c>
      <c r="D62" s="68"/>
      <c r="E62" s="88"/>
      <c r="F62" s="68"/>
      <c r="G62" s="89"/>
      <c r="H62" s="89"/>
      <c r="I62" s="90"/>
      <c r="J62" s="68"/>
      <c r="K62" s="68"/>
      <c r="L62" s="74"/>
      <c r="M62" s="73"/>
      <c r="N62" s="73"/>
      <c r="O62" s="73"/>
      <c r="P62" s="73"/>
      <c r="Q62" s="73">
        <f>6000*3</f>
        <v>18000</v>
      </c>
      <c r="R62" s="73"/>
      <c r="S62" s="73"/>
      <c r="T62" s="73"/>
      <c r="U62" s="73"/>
      <c r="V62" s="73"/>
      <c r="W62" s="73"/>
      <c r="X62" s="73"/>
    </row>
    <row r="63" spans="1:24" s="76" customFormat="1">
      <c r="A63" s="93"/>
      <c r="B63" s="78" t="s">
        <v>34</v>
      </c>
      <c r="C63" s="136" t="s">
        <v>124</v>
      </c>
      <c r="D63" s="68"/>
      <c r="E63" s="88"/>
      <c r="F63" s="68"/>
      <c r="G63" s="89"/>
      <c r="H63" s="89"/>
      <c r="I63" s="90"/>
      <c r="J63" s="68"/>
      <c r="K63" s="68"/>
      <c r="L63" s="74"/>
      <c r="M63" s="73"/>
      <c r="N63" s="73"/>
      <c r="O63" s="73"/>
      <c r="P63" s="73"/>
      <c r="Q63" s="73">
        <f>1200*3*1</f>
        <v>3600</v>
      </c>
      <c r="R63" s="73"/>
      <c r="S63" s="73"/>
      <c r="T63" s="73"/>
      <c r="U63" s="73"/>
      <c r="V63" s="73"/>
      <c r="W63" s="73"/>
      <c r="X63" s="73"/>
    </row>
    <row r="64" spans="1:24" s="76" customFormat="1">
      <c r="A64" s="93"/>
      <c r="B64" s="78" t="s">
        <v>34</v>
      </c>
      <c r="C64" s="96" t="s">
        <v>125</v>
      </c>
      <c r="D64" s="68"/>
      <c r="E64" s="88"/>
      <c r="F64" s="68"/>
      <c r="G64" s="89"/>
      <c r="H64" s="89"/>
      <c r="I64" s="90"/>
      <c r="J64" s="68"/>
      <c r="K64" s="68"/>
      <c r="L64" s="74"/>
      <c r="M64" s="73"/>
      <c r="N64" s="73"/>
      <c r="O64" s="73"/>
      <c r="P64" s="73"/>
      <c r="Q64" s="73">
        <f>50*30</f>
        <v>1500</v>
      </c>
      <c r="R64" s="73"/>
      <c r="S64" s="73"/>
      <c r="T64" s="73"/>
      <c r="U64" s="73"/>
      <c r="V64" s="73"/>
      <c r="W64" s="73"/>
      <c r="X64" s="73"/>
    </row>
    <row r="65" spans="1:24" s="76" customFormat="1">
      <c r="A65" s="95"/>
      <c r="B65" s="68" t="s">
        <v>34</v>
      </c>
      <c r="C65" s="96" t="s">
        <v>126</v>
      </c>
      <c r="D65" s="68"/>
      <c r="E65" s="88"/>
      <c r="F65" s="68"/>
      <c r="G65" s="89"/>
      <c r="H65" s="89"/>
      <c r="I65" s="90"/>
      <c r="J65" s="68"/>
      <c r="K65" s="68"/>
      <c r="L65" s="74"/>
      <c r="M65" s="73"/>
      <c r="N65" s="73"/>
      <c r="O65" s="73"/>
      <c r="P65" s="73"/>
      <c r="Q65" s="73">
        <f>25*2*30</f>
        <v>1500</v>
      </c>
      <c r="R65" s="73"/>
      <c r="S65" s="73"/>
      <c r="T65" s="73"/>
      <c r="U65" s="73"/>
      <c r="V65" s="73"/>
      <c r="W65" s="73"/>
      <c r="X65" s="73"/>
    </row>
    <row r="66" spans="1:24" s="141" customFormat="1" ht="63">
      <c r="A66" s="51" t="s">
        <v>127</v>
      </c>
      <c r="B66" s="137" t="s">
        <v>128</v>
      </c>
      <c r="C66" s="52" t="s">
        <v>129</v>
      </c>
      <c r="D66" s="138"/>
      <c r="E66" s="139"/>
      <c r="F66" s="138"/>
      <c r="G66" s="140"/>
      <c r="H66" s="140"/>
      <c r="I66" s="138"/>
      <c r="J66" s="138"/>
      <c r="K66" s="138"/>
      <c r="L66" s="92"/>
      <c r="M66" s="74">
        <f>N66+O66+S66+T66+W66+X66</f>
        <v>200000</v>
      </c>
      <c r="N66" s="92">
        <v>0</v>
      </c>
      <c r="O66" s="92">
        <v>0</v>
      </c>
      <c r="P66" s="92">
        <v>0</v>
      </c>
      <c r="Q66" s="92">
        <f>Q67</f>
        <v>200000</v>
      </c>
      <c r="R66" s="92">
        <v>0</v>
      </c>
      <c r="S66" s="134">
        <f>SUM(P66:R66)</f>
        <v>200000</v>
      </c>
      <c r="T66" s="92"/>
      <c r="U66" s="92"/>
      <c r="V66" s="92"/>
      <c r="W66" s="92"/>
      <c r="X66" s="92"/>
    </row>
    <row r="67" spans="1:24" s="149" customFormat="1">
      <c r="A67" s="142"/>
      <c r="B67" s="143" t="s">
        <v>34</v>
      </c>
      <c r="C67" s="144" t="s">
        <v>130</v>
      </c>
      <c r="D67" s="145"/>
      <c r="E67" s="146"/>
      <c r="F67" s="145"/>
      <c r="G67" s="147"/>
      <c r="H67" s="147"/>
      <c r="I67" s="145"/>
      <c r="J67" s="145"/>
      <c r="K67" s="145"/>
      <c r="L67" s="148"/>
      <c r="M67" s="148"/>
      <c r="N67" s="148"/>
      <c r="O67" s="148"/>
      <c r="P67" s="148"/>
      <c r="Q67" s="148">
        <f>8000*25</f>
        <v>200000</v>
      </c>
      <c r="R67" s="148"/>
      <c r="S67" s="148"/>
      <c r="T67" s="148"/>
      <c r="U67" s="148"/>
      <c r="V67" s="148"/>
      <c r="W67" s="148"/>
      <c r="X67" s="148"/>
    </row>
    <row r="68" spans="1:24" s="159" customFormat="1" ht="46.5" customHeight="1">
      <c r="A68" s="150" t="s">
        <v>131</v>
      </c>
      <c r="B68" s="312" t="s">
        <v>132</v>
      </c>
      <c r="C68" s="151" t="s">
        <v>133</v>
      </c>
      <c r="D68" s="151"/>
      <c r="E68" s="152"/>
      <c r="F68" s="151"/>
      <c r="G68" s="153"/>
      <c r="H68" s="153"/>
      <c r="I68" s="154" t="s">
        <v>57</v>
      </c>
      <c r="J68" s="151"/>
      <c r="K68" s="151"/>
      <c r="L68" s="155"/>
      <c r="M68" s="155">
        <f>Q68+M74+M75+M76+M77+M83+M92+M93</f>
        <v>2360000</v>
      </c>
      <c r="N68" s="155"/>
      <c r="O68" s="156"/>
      <c r="P68" s="156"/>
      <c r="Q68" s="75">
        <f>SUM(Q69:Q73)</f>
        <v>1760000</v>
      </c>
      <c r="R68" s="157" t="s">
        <v>34</v>
      </c>
      <c r="S68" s="156"/>
      <c r="T68" s="156"/>
      <c r="U68" s="156"/>
      <c r="V68" s="158"/>
      <c r="W68" s="158"/>
      <c r="X68" s="158"/>
    </row>
    <row r="69" spans="1:24" s="76" customFormat="1">
      <c r="A69" s="93"/>
      <c r="B69" s="78" t="s">
        <v>34</v>
      </c>
      <c r="C69" s="160" t="s">
        <v>134</v>
      </c>
      <c r="D69" s="96"/>
      <c r="E69" s="96"/>
      <c r="F69" s="96"/>
      <c r="G69" s="98"/>
      <c r="H69" s="98"/>
      <c r="I69" s="90"/>
      <c r="J69" s="96"/>
      <c r="K69" s="96"/>
      <c r="L69" s="99"/>
      <c r="M69" s="73"/>
      <c r="N69" s="73"/>
      <c r="O69" s="73"/>
      <c r="P69" s="73" t="s">
        <v>34</v>
      </c>
      <c r="Q69" s="73">
        <v>560000</v>
      </c>
      <c r="R69" s="73"/>
      <c r="S69" s="73"/>
      <c r="T69" s="73"/>
      <c r="U69" s="73"/>
      <c r="V69" s="73"/>
      <c r="W69" s="73"/>
      <c r="X69" s="73"/>
    </row>
    <row r="70" spans="1:24" s="76" customFormat="1">
      <c r="A70" s="93"/>
      <c r="B70" s="78" t="s">
        <v>34</v>
      </c>
      <c r="C70" s="160" t="s">
        <v>135</v>
      </c>
      <c r="D70" s="96"/>
      <c r="E70" s="96"/>
      <c r="F70" s="96"/>
      <c r="G70" s="98"/>
      <c r="H70" s="98"/>
      <c r="I70" s="90"/>
      <c r="J70" s="96"/>
      <c r="K70" s="96"/>
      <c r="L70" s="99"/>
      <c r="M70" s="73"/>
      <c r="N70" s="73"/>
      <c r="O70" s="73"/>
      <c r="P70" s="73"/>
      <c r="Q70" s="73">
        <v>960000</v>
      </c>
      <c r="R70" s="73"/>
      <c r="S70" s="73"/>
      <c r="T70" s="73"/>
      <c r="U70" s="73"/>
      <c r="V70" s="73"/>
      <c r="W70" s="73"/>
      <c r="X70" s="73"/>
    </row>
    <row r="71" spans="1:24" s="76" customFormat="1">
      <c r="A71" s="93"/>
      <c r="B71" s="78" t="s">
        <v>34</v>
      </c>
      <c r="C71" s="160" t="s">
        <v>136</v>
      </c>
      <c r="D71" s="96"/>
      <c r="E71" s="96"/>
      <c r="F71" s="96"/>
      <c r="G71" s="98"/>
      <c r="H71" s="98"/>
      <c r="I71" s="90"/>
      <c r="J71" s="96"/>
      <c r="K71" s="96"/>
      <c r="L71" s="99"/>
      <c r="M71" s="73"/>
      <c r="N71" s="73"/>
      <c r="O71" s="73"/>
      <c r="P71" s="73"/>
      <c r="Q71" s="73">
        <v>70000</v>
      </c>
      <c r="R71" s="73"/>
      <c r="S71" s="73"/>
      <c r="T71" s="73"/>
      <c r="U71" s="73"/>
      <c r="V71" s="73"/>
      <c r="W71" s="73"/>
      <c r="X71" s="73"/>
    </row>
    <row r="72" spans="1:24" s="76" customFormat="1">
      <c r="A72" s="93"/>
      <c r="B72" s="78" t="s">
        <v>34</v>
      </c>
      <c r="C72" s="160" t="s">
        <v>137</v>
      </c>
      <c r="D72" s="96"/>
      <c r="E72" s="96"/>
      <c r="F72" s="96"/>
      <c r="G72" s="98"/>
      <c r="H72" s="98"/>
      <c r="I72" s="90"/>
      <c r="J72" s="96"/>
      <c r="K72" s="96"/>
      <c r="L72" s="99"/>
      <c r="M72" s="73"/>
      <c r="N72" s="73"/>
      <c r="O72" s="73"/>
      <c r="P72" s="73"/>
      <c r="Q72" s="73">
        <v>100000</v>
      </c>
      <c r="R72" s="73"/>
      <c r="S72" s="73"/>
      <c r="T72" s="73"/>
      <c r="U72" s="73"/>
      <c r="V72" s="73"/>
      <c r="W72" s="73"/>
      <c r="X72" s="73"/>
    </row>
    <row r="73" spans="1:24" s="76" customFormat="1" ht="37.5">
      <c r="A73" s="95"/>
      <c r="B73" s="68" t="s">
        <v>34</v>
      </c>
      <c r="C73" s="161" t="s">
        <v>138</v>
      </c>
      <c r="D73" s="96"/>
      <c r="E73" s="96"/>
      <c r="F73" s="96"/>
      <c r="G73" s="98"/>
      <c r="H73" s="98"/>
      <c r="I73" s="90"/>
      <c r="J73" s="96"/>
      <c r="K73" s="96"/>
      <c r="L73" s="99"/>
      <c r="M73" s="73"/>
      <c r="N73" s="73"/>
      <c r="O73" s="73"/>
      <c r="P73" s="73"/>
      <c r="Q73" s="73">
        <f>30000+40000</f>
        <v>70000</v>
      </c>
      <c r="R73" s="73"/>
      <c r="S73" s="73"/>
      <c r="T73" s="73"/>
      <c r="U73" s="73"/>
      <c r="V73" s="73"/>
      <c r="W73" s="73"/>
      <c r="X73" s="73"/>
    </row>
    <row r="74" spans="1:24" s="76" customFormat="1" ht="42.75">
      <c r="A74" s="114" t="s">
        <v>139</v>
      </c>
      <c r="B74" s="313" t="s">
        <v>140</v>
      </c>
      <c r="C74" s="96" t="s">
        <v>141</v>
      </c>
      <c r="D74" s="96"/>
      <c r="E74" s="97"/>
      <c r="F74" s="96"/>
      <c r="G74" s="98"/>
      <c r="H74" s="98"/>
      <c r="I74" s="90"/>
      <c r="J74" s="96"/>
      <c r="K74" s="96"/>
      <c r="L74" s="99"/>
      <c r="M74" s="99">
        <f>Q74</f>
        <v>60000</v>
      </c>
      <c r="N74" s="99"/>
      <c r="O74" s="102"/>
      <c r="P74" s="102"/>
      <c r="Q74" s="102">
        <v>60000</v>
      </c>
      <c r="R74" s="102"/>
      <c r="S74" s="102"/>
      <c r="T74" s="102"/>
      <c r="U74" s="102"/>
      <c r="V74" s="73"/>
      <c r="W74" s="73"/>
      <c r="X74" s="73"/>
    </row>
    <row r="75" spans="1:24" s="76" customFormat="1" ht="42.75">
      <c r="A75" s="66" t="s">
        <v>142</v>
      </c>
      <c r="B75" s="314" t="s">
        <v>140</v>
      </c>
      <c r="C75" s="68" t="s">
        <v>143</v>
      </c>
      <c r="D75" s="68"/>
      <c r="E75" s="88"/>
      <c r="F75" s="68"/>
      <c r="G75" s="89"/>
      <c r="H75" s="89"/>
      <c r="I75" s="90"/>
      <c r="J75" s="68"/>
      <c r="K75" s="68"/>
      <c r="L75" s="74"/>
      <c r="M75" s="74">
        <f>Q75</f>
        <v>90000</v>
      </c>
      <c r="N75" s="74"/>
      <c r="O75" s="75"/>
      <c r="P75" s="75"/>
      <c r="Q75" s="75">
        <v>90000</v>
      </c>
      <c r="R75" s="75"/>
      <c r="S75" s="75"/>
      <c r="T75" s="75"/>
      <c r="U75" s="75"/>
      <c r="V75" s="73"/>
      <c r="W75" s="73"/>
      <c r="X75" s="73"/>
    </row>
    <row r="76" spans="1:24" s="76" customFormat="1" ht="42.75">
      <c r="A76" s="114" t="s">
        <v>144</v>
      </c>
      <c r="B76" s="313" t="s">
        <v>140</v>
      </c>
      <c r="C76" s="96" t="s">
        <v>145</v>
      </c>
      <c r="D76" s="96"/>
      <c r="E76" s="97"/>
      <c r="F76" s="96"/>
      <c r="G76" s="98"/>
      <c r="H76" s="98"/>
      <c r="I76" s="90"/>
      <c r="J76" s="96"/>
      <c r="K76" s="96"/>
      <c r="L76" s="99"/>
      <c r="M76" s="99">
        <f>Q76</f>
        <v>70000</v>
      </c>
      <c r="N76" s="99"/>
      <c r="O76" s="102"/>
      <c r="P76" s="102"/>
      <c r="Q76" s="102">
        <v>70000</v>
      </c>
      <c r="R76" s="102"/>
      <c r="S76" s="102"/>
      <c r="T76" s="102"/>
      <c r="U76" s="102"/>
      <c r="V76" s="73"/>
      <c r="W76" s="73"/>
      <c r="X76" s="73"/>
    </row>
    <row r="77" spans="1:24" s="76" customFormat="1" ht="86.25" customHeight="1">
      <c r="A77" s="66" t="s">
        <v>146</v>
      </c>
      <c r="B77" s="310" t="s">
        <v>147</v>
      </c>
      <c r="C77" s="162" t="s">
        <v>148</v>
      </c>
      <c r="D77" s="103" t="s">
        <v>149</v>
      </c>
      <c r="E77" s="103" t="s">
        <v>150</v>
      </c>
      <c r="F77" s="68" t="s">
        <v>151</v>
      </c>
      <c r="G77" s="89"/>
      <c r="H77" s="89"/>
      <c r="I77" s="90"/>
      <c r="J77" s="68"/>
      <c r="K77" s="68"/>
      <c r="L77" s="74"/>
      <c r="M77" s="74">
        <f>N77+O77+S77+T77+W77+X77</f>
        <v>120000</v>
      </c>
      <c r="N77" s="73">
        <v>0</v>
      </c>
      <c r="O77" s="73">
        <v>0</v>
      </c>
      <c r="P77" s="73">
        <v>0</v>
      </c>
      <c r="Q77" s="73">
        <f>SUM(Q78:Q82)</f>
        <v>120000</v>
      </c>
      <c r="R77" s="73">
        <v>0</v>
      </c>
      <c r="S77" s="73">
        <f>SUM(P77:R77)</f>
        <v>120000</v>
      </c>
      <c r="T77" s="73">
        <v>0</v>
      </c>
      <c r="U77" s="73">
        <v>0</v>
      </c>
      <c r="V77" s="73">
        <v>0</v>
      </c>
      <c r="W77" s="73">
        <f>U77+V77</f>
        <v>0</v>
      </c>
      <c r="X77" s="73">
        <v>0</v>
      </c>
    </row>
    <row r="78" spans="1:24" s="172" customFormat="1">
      <c r="A78" s="163"/>
      <c r="B78" s="164" t="s">
        <v>34</v>
      </c>
      <c r="C78" s="165" t="s">
        <v>152</v>
      </c>
      <c r="D78" s="166"/>
      <c r="E78" s="167"/>
      <c r="F78" s="166"/>
      <c r="G78" s="168"/>
      <c r="H78" s="168"/>
      <c r="I78" s="169"/>
      <c r="J78" s="166"/>
      <c r="K78" s="166"/>
      <c r="L78" s="170"/>
      <c r="M78" s="171"/>
      <c r="N78" s="171"/>
      <c r="O78" s="171"/>
      <c r="P78" s="171"/>
      <c r="Q78" s="171">
        <f>210*8*4</f>
        <v>6720</v>
      </c>
      <c r="R78" s="171"/>
      <c r="S78" s="171"/>
      <c r="T78" s="171"/>
      <c r="U78" s="171"/>
      <c r="V78" s="171"/>
      <c r="W78" s="171"/>
      <c r="X78" s="171"/>
    </row>
    <row r="79" spans="1:24" s="172" customFormat="1">
      <c r="A79" s="163"/>
      <c r="B79" s="164" t="s">
        <v>34</v>
      </c>
      <c r="C79" s="165" t="s">
        <v>153</v>
      </c>
      <c r="D79" s="166"/>
      <c r="E79" s="167"/>
      <c r="F79" s="166"/>
      <c r="G79" s="168"/>
      <c r="H79" s="168"/>
      <c r="I79" s="169"/>
      <c r="J79" s="166"/>
      <c r="K79" s="166"/>
      <c r="L79" s="170"/>
      <c r="M79" s="171"/>
      <c r="N79" s="171"/>
      <c r="O79" s="171"/>
      <c r="P79" s="171"/>
      <c r="Q79" s="171">
        <f>240*2*4</f>
        <v>1920</v>
      </c>
      <c r="R79" s="171"/>
      <c r="S79" s="171"/>
      <c r="T79" s="171"/>
      <c r="U79" s="171"/>
      <c r="V79" s="171"/>
      <c r="W79" s="171"/>
      <c r="X79" s="171"/>
    </row>
    <row r="80" spans="1:24" s="172" customFormat="1">
      <c r="A80" s="17"/>
      <c r="B80" s="166" t="s">
        <v>34</v>
      </c>
      <c r="C80" s="165" t="s">
        <v>154</v>
      </c>
      <c r="D80" s="166"/>
      <c r="E80" s="167"/>
      <c r="F80" s="166"/>
      <c r="G80" s="168"/>
      <c r="H80" s="168"/>
      <c r="I80" s="169"/>
      <c r="J80" s="166"/>
      <c r="K80" s="166"/>
      <c r="L80" s="170"/>
      <c r="M80" s="171"/>
      <c r="N80" s="171"/>
      <c r="O80" s="171"/>
      <c r="P80" s="171"/>
      <c r="Q80" s="171">
        <f>700*18*3</f>
        <v>37800</v>
      </c>
      <c r="R80" s="171"/>
      <c r="S80" s="171"/>
      <c r="T80" s="171"/>
      <c r="U80" s="171"/>
      <c r="V80" s="171"/>
      <c r="W80" s="171"/>
      <c r="X80" s="171"/>
    </row>
    <row r="81" spans="1:24" s="172" customFormat="1">
      <c r="A81" s="163"/>
      <c r="B81" s="164" t="s">
        <v>34</v>
      </c>
      <c r="C81" s="165" t="s">
        <v>155</v>
      </c>
      <c r="D81" s="166"/>
      <c r="E81" s="167"/>
      <c r="F81" s="166"/>
      <c r="G81" s="168"/>
      <c r="H81" s="168"/>
      <c r="I81" s="169"/>
      <c r="J81" s="166"/>
      <c r="K81" s="166"/>
      <c r="L81" s="170"/>
      <c r="M81" s="171"/>
      <c r="N81" s="171"/>
      <c r="O81" s="171"/>
      <c r="P81" s="171"/>
      <c r="Q81" s="171">
        <f>13000*4</f>
        <v>52000</v>
      </c>
      <c r="R81" s="171"/>
      <c r="S81" s="171"/>
      <c r="T81" s="171"/>
      <c r="U81" s="171"/>
      <c r="V81" s="171"/>
      <c r="W81" s="171"/>
      <c r="X81" s="171"/>
    </row>
    <row r="82" spans="1:24" s="172" customFormat="1">
      <c r="A82" s="17"/>
      <c r="B82" s="166" t="s">
        <v>34</v>
      </c>
      <c r="C82" s="165" t="s">
        <v>156</v>
      </c>
      <c r="D82" s="166"/>
      <c r="E82" s="167"/>
      <c r="F82" s="166"/>
      <c r="G82" s="168"/>
      <c r="H82" s="168"/>
      <c r="I82" s="169"/>
      <c r="J82" s="166"/>
      <c r="K82" s="166"/>
      <c r="L82" s="170"/>
      <c r="M82" s="171" t="s">
        <v>34</v>
      </c>
      <c r="N82" s="171"/>
      <c r="O82" s="171"/>
      <c r="P82" s="171"/>
      <c r="Q82" s="171">
        <v>21560</v>
      </c>
      <c r="R82" s="171"/>
      <c r="S82" s="171"/>
      <c r="T82" s="171"/>
      <c r="U82" s="171"/>
      <c r="V82" s="171"/>
      <c r="W82" s="171"/>
      <c r="X82" s="171"/>
    </row>
    <row r="83" spans="1:24" s="76" customFormat="1" ht="42.75">
      <c r="A83" s="66" t="s">
        <v>157</v>
      </c>
      <c r="B83" s="310" t="s">
        <v>158</v>
      </c>
      <c r="C83" s="68" t="s">
        <v>159</v>
      </c>
      <c r="D83" s="68"/>
      <c r="E83" s="88"/>
      <c r="F83" s="68"/>
      <c r="G83" s="89"/>
      <c r="H83" s="89"/>
      <c r="I83" s="90"/>
      <c r="J83" s="68"/>
      <c r="K83" s="68"/>
      <c r="L83" s="74"/>
      <c r="M83" s="74">
        <f>N83+O83+S83+T83+W83+X83</f>
        <v>130000</v>
      </c>
      <c r="N83" s="74"/>
      <c r="O83" s="75"/>
      <c r="P83" s="75">
        <f>SUM(Q84:Q85)</f>
        <v>16800</v>
      </c>
      <c r="Q83" s="75">
        <f>SUM(Q86:Q90)</f>
        <v>112600</v>
      </c>
      <c r="R83" s="75">
        <f>SUM(Q91)</f>
        <v>600</v>
      </c>
      <c r="S83" s="75">
        <f>SUM(P83:R83)</f>
        <v>130000</v>
      </c>
      <c r="T83" s="75"/>
      <c r="U83" s="75"/>
      <c r="V83" s="73"/>
      <c r="W83" s="73"/>
      <c r="X83" s="73"/>
    </row>
    <row r="84" spans="1:24" s="76" customFormat="1">
      <c r="A84" s="93"/>
      <c r="B84" s="78" t="s">
        <v>39</v>
      </c>
      <c r="C84" s="79" t="s">
        <v>160</v>
      </c>
      <c r="D84" s="68"/>
      <c r="E84" s="88"/>
      <c r="F84" s="68"/>
      <c r="G84" s="89"/>
      <c r="H84" s="89"/>
      <c r="I84" s="90"/>
      <c r="J84" s="68"/>
      <c r="K84" s="68"/>
      <c r="L84" s="74"/>
      <c r="M84" s="74"/>
      <c r="N84" s="74"/>
      <c r="O84" s="75"/>
      <c r="P84" s="75"/>
      <c r="Q84" s="75">
        <f>300*11*4</f>
        <v>13200</v>
      </c>
      <c r="R84" s="75"/>
      <c r="S84" s="75"/>
      <c r="T84" s="75"/>
      <c r="U84" s="75"/>
      <c r="V84" s="73"/>
      <c r="W84" s="73"/>
      <c r="X84" s="73"/>
    </row>
    <row r="85" spans="1:24" s="76" customFormat="1">
      <c r="A85" s="93"/>
      <c r="B85" s="78" t="s">
        <v>34</v>
      </c>
      <c r="C85" s="79" t="s">
        <v>161</v>
      </c>
      <c r="D85" s="68"/>
      <c r="E85" s="88"/>
      <c r="F85" s="68"/>
      <c r="G85" s="89"/>
      <c r="H85" s="89"/>
      <c r="I85" s="90"/>
      <c r="J85" s="68"/>
      <c r="K85" s="68"/>
      <c r="L85" s="74"/>
      <c r="M85" s="74"/>
      <c r="N85" s="74"/>
      <c r="O85" s="75"/>
      <c r="P85" s="75"/>
      <c r="Q85" s="75">
        <f>600*1*6</f>
        <v>3600</v>
      </c>
      <c r="R85" s="75"/>
      <c r="S85" s="75"/>
      <c r="T85" s="75"/>
      <c r="U85" s="75"/>
      <c r="V85" s="73"/>
      <c r="W85" s="73"/>
      <c r="X85" s="73"/>
    </row>
    <row r="86" spans="1:24" s="76" customFormat="1">
      <c r="A86" s="93"/>
      <c r="B86" s="78" t="s">
        <v>34</v>
      </c>
      <c r="C86" s="94" t="s">
        <v>162</v>
      </c>
      <c r="D86" s="68"/>
      <c r="E86" s="88"/>
      <c r="F86" s="68"/>
      <c r="G86" s="89"/>
      <c r="H86" s="89"/>
      <c r="I86" s="90"/>
      <c r="J86" s="68"/>
      <c r="K86" s="68"/>
      <c r="L86" s="74"/>
      <c r="M86" s="74"/>
      <c r="N86" s="74"/>
      <c r="O86" s="75"/>
      <c r="P86" s="75"/>
      <c r="Q86" s="75">
        <v>10000</v>
      </c>
      <c r="R86" s="75"/>
      <c r="S86" s="75"/>
      <c r="T86" s="75"/>
      <c r="U86" s="75"/>
      <c r="V86" s="73"/>
      <c r="W86" s="73"/>
      <c r="X86" s="73"/>
    </row>
    <row r="87" spans="1:24" s="76" customFormat="1">
      <c r="A87" s="93"/>
      <c r="B87" s="78" t="s">
        <v>39</v>
      </c>
      <c r="C87" s="94" t="s">
        <v>163</v>
      </c>
      <c r="D87" s="68"/>
      <c r="E87" s="88"/>
      <c r="F87" s="68"/>
      <c r="G87" s="89"/>
      <c r="H87" s="89"/>
      <c r="I87" s="90"/>
      <c r="J87" s="68"/>
      <c r="K87" s="68"/>
      <c r="L87" s="74"/>
      <c r="M87" s="74" t="s">
        <v>34</v>
      </c>
      <c r="N87" s="74"/>
      <c r="O87" s="75"/>
      <c r="P87" s="75"/>
      <c r="Q87" s="75">
        <f>2*6000*2</f>
        <v>24000</v>
      </c>
      <c r="R87" s="75"/>
      <c r="S87" s="75"/>
      <c r="T87" s="75"/>
      <c r="U87" s="75"/>
      <c r="V87" s="73"/>
      <c r="W87" s="73"/>
      <c r="X87" s="73"/>
    </row>
    <row r="88" spans="1:24" s="76" customFormat="1">
      <c r="A88" s="93"/>
      <c r="B88" s="78" t="s">
        <v>34</v>
      </c>
      <c r="C88" s="79" t="s">
        <v>164</v>
      </c>
      <c r="D88" s="68"/>
      <c r="E88" s="88"/>
      <c r="F88" s="68"/>
      <c r="G88" s="89"/>
      <c r="H88" s="89"/>
      <c r="I88" s="90"/>
      <c r="J88" s="68"/>
      <c r="K88" s="68"/>
      <c r="L88" s="74"/>
      <c r="M88" s="74"/>
      <c r="N88" s="74"/>
      <c r="O88" s="75"/>
      <c r="P88" s="75"/>
      <c r="Q88" s="75">
        <v>30000</v>
      </c>
      <c r="R88" s="75"/>
      <c r="S88" s="75"/>
      <c r="T88" s="75"/>
      <c r="U88" s="75"/>
      <c r="V88" s="73"/>
      <c r="W88" s="73"/>
      <c r="X88" s="73"/>
    </row>
    <row r="89" spans="1:24" s="76" customFormat="1">
      <c r="A89" s="93"/>
      <c r="B89" s="78" t="s">
        <v>34</v>
      </c>
      <c r="C89" s="94" t="s">
        <v>165</v>
      </c>
      <c r="D89" s="68"/>
      <c r="E89" s="88"/>
      <c r="F89" s="68"/>
      <c r="G89" s="89"/>
      <c r="H89" s="89"/>
      <c r="I89" s="90"/>
      <c r="J89" s="68"/>
      <c r="K89" s="68"/>
      <c r="L89" s="74"/>
      <c r="M89" s="74"/>
      <c r="N89" s="74"/>
      <c r="O89" s="75"/>
      <c r="P89" s="75"/>
      <c r="Q89" s="75">
        <f>85*3*120</f>
        <v>30600</v>
      </c>
      <c r="R89" s="75"/>
      <c r="S89" s="75"/>
      <c r="T89" s="75"/>
      <c r="U89" s="75"/>
      <c r="V89" s="73"/>
      <c r="W89" s="73"/>
      <c r="X89" s="73"/>
    </row>
    <row r="90" spans="1:24" s="76" customFormat="1">
      <c r="A90" s="93"/>
      <c r="B90" s="78" t="s">
        <v>34</v>
      </c>
      <c r="C90" s="94" t="s">
        <v>166</v>
      </c>
      <c r="D90" s="68"/>
      <c r="E90" s="88"/>
      <c r="F90" s="68"/>
      <c r="G90" s="89"/>
      <c r="H90" s="89"/>
      <c r="I90" s="90"/>
      <c r="J90" s="68"/>
      <c r="K90" s="68"/>
      <c r="L90" s="74"/>
      <c r="M90" s="74"/>
      <c r="N90" s="74"/>
      <c r="O90" s="75"/>
      <c r="P90" s="75"/>
      <c r="Q90" s="75">
        <f>50*3*120</f>
        <v>18000</v>
      </c>
      <c r="R90" s="75"/>
      <c r="S90" s="75"/>
      <c r="T90" s="75"/>
      <c r="U90" s="75"/>
      <c r="V90" s="73"/>
      <c r="W90" s="73"/>
      <c r="X90" s="73"/>
    </row>
    <row r="91" spans="1:24" s="76" customFormat="1">
      <c r="A91" s="95"/>
      <c r="B91" s="68" t="s">
        <v>34</v>
      </c>
      <c r="C91" s="94" t="s">
        <v>53</v>
      </c>
      <c r="D91" s="68"/>
      <c r="E91" s="88"/>
      <c r="F91" s="68"/>
      <c r="G91" s="89"/>
      <c r="H91" s="89"/>
      <c r="I91" s="90"/>
      <c r="J91" s="68"/>
      <c r="K91" s="68"/>
      <c r="L91" s="74"/>
      <c r="M91" s="74"/>
      <c r="N91" s="74"/>
      <c r="O91" s="75"/>
      <c r="P91" s="75"/>
      <c r="Q91" s="75">
        <v>600</v>
      </c>
      <c r="R91" s="75"/>
      <c r="S91" s="75"/>
      <c r="T91" s="75"/>
      <c r="U91" s="75"/>
      <c r="V91" s="73"/>
      <c r="W91" s="73"/>
      <c r="X91" s="73"/>
    </row>
    <row r="92" spans="1:24" s="76" customFormat="1" ht="42.75">
      <c r="A92" s="114" t="s">
        <v>167</v>
      </c>
      <c r="B92" s="313" t="s">
        <v>140</v>
      </c>
      <c r="C92" s="96" t="s">
        <v>168</v>
      </c>
      <c r="D92" s="96"/>
      <c r="E92" s="97"/>
      <c r="F92" s="96"/>
      <c r="G92" s="98"/>
      <c r="H92" s="98"/>
      <c r="I92" s="90"/>
      <c r="J92" s="96"/>
      <c r="K92" s="96"/>
      <c r="L92" s="99"/>
      <c r="M92" s="99">
        <f>N92+O92+S92+T92+W92+X92</f>
        <v>50000</v>
      </c>
      <c r="N92" s="99"/>
      <c r="O92" s="102"/>
      <c r="P92" s="102" t="s">
        <v>34</v>
      </c>
      <c r="Q92" s="173">
        <v>50000</v>
      </c>
      <c r="R92" s="102" t="s">
        <v>34</v>
      </c>
      <c r="S92" s="102">
        <f>SUM(P92:R92)</f>
        <v>50000</v>
      </c>
      <c r="T92" s="102"/>
      <c r="U92" s="102"/>
      <c r="V92" s="73"/>
      <c r="W92" s="73"/>
      <c r="X92" s="73"/>
    </row>
    <row r="93" spans="1:24" s="76" customFormat="1" ht="42.75" customHeight="1">
      <c r="A93" s="66" t="s">
        <v>169</v>
      </c>
      <c r="B93" s="103" t="s">
        <v>81</v>
      </c>
      <c r="C93" s="68" t="s">
        <v>170</v>
      </c>
      <c r="D93" s="103" t="s">
        <v>171</v>
      </c>
      <c r="E93" s="104" t="s">
        <v>172</v>
      </c>
      <c r="F93" s="68" t="s">
        <v>173</v>
      </c>
      <c r="G93" s="89"/>
      <c r="H93" s="89"/>
      <c r="I93" s="90"/>
      <c r="J93" s="68"/>
      <c r="K93" s="68"/>
      <c r="L93" s="74"/>
      <c r="M93" s="74">
        <f>N93+O93+S93+T93+W93+X93</f>
        <v>80000</v>
      </c>
      <c r="N93" s="74"/>
      <c r="O93" s="75"/>
      <c r="P93" s="75"/>
      <c r="Q93" s="75">
        <v>80000</v>
      </c>
      <c r="R93" s="75"/>
      <c r="S93" s="75">
        <f>SUM(P93:R93)</f>
        <v>80000</v>
      </c>
      <c r="T93" s="75"/>
      <c r="U93" s="75"/>
      <c r="V93" s="73"/>
      <c r="W93" s="73"/>
      <c r="X93" s="73"/>
    </row>
    <row r="94" spans="1:24" s="35" customFormat="1" ht="26.25">
      <c r="A94" s="29" t="s">
        <v>174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2" t="s">
        <v>34</v>
      </c>
      <c r="N94" s="30"/>
      <c r="O94" s="30"/>
      <c r="P94" s="31"/>
      <c r="Q94" s="31"/>
      <c r="R94" s="31"/>
      <c r="S94" s="31"/>
      <c r="T94" s="31"/>
      <c r="U94" s="31"/>
      <c r="V94" s="31"/>
      <c r="W94" s="31"/>
      <c r="X94" s="174"/>
    </row>
    <row r="95" spans="1:24" s="179" customFormat="1" ht="23.25">
      <c r="A95" s="175" t="s">
        <v>175</v>
      </c>
      <c r="B95" s="176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177">
        <f>M97+M98</f>
        <v>1903100</v>
      </c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</row>
    <row r="96" spans="1:24" s="179" customFormat="1" ht="25.5">
      <c r="A96" s="180" t="s">
        <v>176</v>
      </c>
      <c r="B96" s="176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178">
        <f>M97+M98</f>
        <v>1903100</v>
      </c>
      <c r="N96" s="46" t="s">
        <v>37</v>
      </c>
      <c r="O96" s="47">
        <f>M95-M96</f>
        <v>0</v>
      </c>
      <c r="P96" s="48" t="s">
        <v>177</v>
      </c>
      <c r="Q96" s="49"/>
      <c r="R96" s="49"/>
      <c r="S96" s="178"/>
      <c r="T96" s="178"/>
      <c r="U96" s="178"/>
      <c r="V96" s="178"/>
      <c r="W96" s="178"/>
      <c r="X96" s="178"/>
    </row>
    <row r="97" spans="1:24" s="58" customFormat="1" ht="63">
      <c r="A97" s="181" t="s">
        <v>178</v>
      </c>
      <c r="B97" s="52" t="s">
        <v>41</v>
      </c>
      <c r="C97" s="52" t="s">
        <v>179</v>
      </c>
      <c r="D97" s="52"/>
      <c r="E97" s="53"/>
      <c r="F97" s="52"/>
      <c r="G97" s="54"/>
      <c r="H97" s="54"/>
      <c r="I97" s="52"/>
      <c r="J97" s="52"/>
      <c r="K97" s="52"/>
      <c r="L97" s="55"/>
      <c r="M97" s="55">
        <f>N97+O97+S97+T97+W97+X97</f>
        <v>1736100</v>
      </c>
      <c r="N97" s="56">
        <v>0</v>
      </c>
      <c r="O97" s="56">
        <v>959500</v>
      </c>
      <c r="P97" s="56">
        <v>597600</v>
      </c>
      <c r="Q97" s="56">
        <v>158000</v>
      </c>
      <c r="R97" s="56">
        <v>40000</v>
      </c>
      <c r="S97" s="56">
        <f>P97+Q97+R97-M98</f>
        <v>628600</v>
      </c>
      <c r="T97" s="56">
        <v>48000</v>
      </c>
      <c r="U97" s="56">
        <v>100000</v>
      </c>
      <c r="V97" s="56">
        <v>0</v>
      </c>
      <c r="W97" s="56">
        <f>U97+V97</f>
        <v>100000</v>
      </c>
      <c r="X97" s="56">
        <v>0</v>
      </c>
    </row>
    <row r="98" spans="1:24" s="58" customFormat="1" ht="42">
      <c r="A98" s="51" t="s">
        <v>180</v>
      </c>
      <c r="B98" s="182" t="s">
        <v>181</v>
      </c>
      <c r="C98" s="52" t="s">
        <v>182</v>
      </c>
      <c r="D98" s="52"/>
      <c r="E98" s="53"/>
      <c r="F98" s="52"/>
      <c r="G98" s="54"/>
      <c r="H98" s="183"/>
      <c r="I98" s="137"/>
      <c r="J98" s="52"/>
      <c r="K98" s="52"/>
      <c r="L98" s="55"/>
      <c r="M98" s="57">
        <f>SUM(M99:M132)</f>
        <v>167000</v>
      </c>
      <c r="N98" s="55"/>
      <c r="O98" s="55"/>
      <c r="P98" s="55"/>
      <c r="Q98" s="55"/>
      <c r="R98" s="55"/>
      <c r="S98" s="64" t="s">
        <v>34</v>
      </c>
      <c r="T98" s="55"/>
      <c r="U98" s="55"/>
      <c r="V98" s="55"/>
      <c r="W98" s="55"/>
      <c r="X98" s="55"/>
    </row>
    <row r="99" spans="1:24" s="76" customFormat="1" ht="41.25" customHeight="1">
      <c r="A99" s="66" t="s">
        <v>183</v>
      </c>
      <c r="B99" s="308" t="s">
        <v>181</v>
      </c>
      <c r="C99" s="68" t="s">
        <v>184</v>
      </c>
      <c r="D99" s="68"/>
      <c r="E99" s="88"/>
      <c r="F99" s="68"/>
      <c r="G99" s="89"/>
      <c r="H99" s="89"/>
      <c r="I99" s="90" t="s">
        <v>50</v>
      </c>
      <c r="J99" s="68"/>
      <c r="K99" s="68"/>
      <c r="L99" s="74"/>
      <c r="M99" s="74">
        <f>N99+O99+S99+T99+W99+X99</f>
        <v>10000</v>
      </c>
      <c r="N99" s="74"/>
      <c r="O99" s="75"/>
      <c r="P99" s="75">
        <v>0</v>
      </c>
      <c r="Q99" s="75">
        <f>SUM(Q100:Q101)</f>
        <v>9750</v>
      </c>
      <c r="R99" s="75">
        <f>SUM(Q102)</f>
        <v>250</v>
      </c>
      <c r="S99" s="75">
        <f>SUM(P99:R99)</f>
        <v>10000</v>
      </c>
      <c r="T99" s="75"/>
      <c r="U99" s="75"/>
      <c r="V99" s="73"/>
      <c r="W99" s="73"/>
      <c r="X99" s="73"/>
    </row>
    <row r="100" spans="1:24" s="76" customFormat="1">
      <c r="A100" s="93"/>
      <c r="B100" s="78" t="s">
        <v>34</v>
      </c>
      <c r="C100" s="94" t="s">
        <v>185</v>
      </c>
      <c r="D100" s="68"/>
      <c r="E100" s="88"/>
      <c r="F100" s="68"/>
      <c r="G100" s="89"/>
      <c r="H100" s="89"/>
      <c r="I100" s="90"/>
      <c r="J100" s="68"/>
      <c r="K100" s="68"/>
      <c r="L100" s="74"/>
      <c r="M100" s="74"/>
      <c r="N100" s="74"/>
      <c r="O100" s="75"/>
      <c r="P100" s="75"/>
      <c r="Q100" s="75">
        <f>130*1*35</f>
        <v>4550</v>
      </c>
      <c r="R100" s="75"/>
      <c r="S100" s="75"/>
      <c r="T100" s="75"/>
      <c r="U100" s="75"/>
      <c r="V100" s="73"/>
      <c r="W100" s="73"/>
      <c r="X100" s="73"/>
    </row>
    <row r="101" spans="1:24" s="76" customFormat="1">
      <c r="A101" s="93"/>
      <c r="B101" s="78" t="s">
        <v>34</v>
      </c>
      <c r="C101" s="165" t="s">
        <v>186</v>
      </c>
      <c r="D101" s="68"/>
      <c r="E101" s="88"/>
      <c r="F101" s="68"/>
      <c r="G101" s="89"/>
      <c r="H101" s="89"/>
      <c r="I101" s="90"/>
      <c r="J101" s="68"/>
      <c r="K101" s="68"/>
      <c r="L101" s="74"/>
      <c r="M101" s="74"/>
      <c r="N101" s="74"/>
      <c r="O101" s="75"/>
      <c r="P101" s="75"/>
      <c r="Q101" s="184">
        <f>130*2*20</f>
        <v>5200</v>
      </c>
      <c r="R101" s="75"/>
      <c r="S101" s="75"/>
      <c r="T101" s="75"/>
      <c r="U101" s="75"/>
      <c r="V101" s="73"/>
      <c r="W101" s="73"/>
      <c r="X101" s="73"/>
    </row>
    <row r="102" spans="1:24" s="76" customFormat="1">
      <c r="A102" s="95"/>
      <c r="B102" s="68" t="s">
        <v>34</v>
      </c>
      <c r="C102" s="94" t="s">
        <v>78</v>
      </c>
      <c r="D102" s="68"/>
      <c r="E102" s="88"/>
      <c r="F102" s="68"/>
      <c r="G102" s="89"/>
      <c r="H102" s="89"/>
      <c r="I102" s="90"/>
      <c r="J102" s="68"/>
      <c r="K102" s="68"/>
      <c r="L102" s="74"/>
      <c r="M102" s="74"/>
      <c r="N102" s="74"/>
      <c r="O102" s="75"/>
      <c r="P102" s="75"/>
      <c r="Q102" s="75">
        <v>250</v>
      </c>
      <c r="R102" s="75"/>
      <c r="S102" s="75"/>
      <c r="T102" s="75"/>
      <c r="U102" s="75"/>
      <c r="V102" s="73"/>
      <c r="W102" s="73"/>
      <c r="X102" s="73"/>
    </row>
    <row r="103" spans="1:24" s="76" customFormat="1" ht="42">
      <c r="A103" s="66" t="s">
        <v>183</v>
      </c>
      <c r="B103" s="67" t="s">
        <v>181</v>
      </c>
      <c r="C103" s="68" t="s">
        <v>187</v>
      </c>
      <c r="D103" s="68"/>
      <c r="E103" s="88"/>
      <c r="F103" s="68"/>
      <c r="G103" s="89"/>
      <c r="H103" s="89"/>
      <c r="I103" s="90"/>
      <c r="J103" s="68"/>
      <c r="K103" s="68"/>
      <c r="L103" s="74"/>
      <c r="M103" s="74">
        <f>N103+O103+S103+T103+W103+X103</f>
        <v>50000</v>
      </c>
      <c r="N103" s="74"/>
      <c r="O103" s="75"/>
      <c r="P103" s="75">
        <f>SUM(Q104:Q105)</f>
        <v>5000</v>
      </c>
      <c r="Q103" s="75">
        <f>SUM(Q106:Q109)</f>
        <v>39600</v>
      </c>
      <c r="R103" s="75">
        <f>SUM(Q110:Q111)</f>
        <v>5400</v>
      </c>
      <c r="S103" s="75">
        <f>SUM(P103:R103)</f>
        <v>50000</v>
      </c>
      <c r="T103" s="75"/>
      <c r="U103" s="75"/>
      <c r="V103" s="73"/>
      <c r="W103" s="73"/>
      <c r="X103" s="73"/>
    </row>
    <row r="104" spans="1:24" s="76" customFormat="1">
      <c r="A104" s="93"/>
      <c r="B104" s="78" t="s">
        <v>34</v>
      </c>
      <c r="C104" s="94" t="s">
        <v>188</v>
      </c>
      <c r="D104" s="68"/>
      <c r="E104" s="88"/>
      <c r="F104" s="68"/>
      <c r="G104" s="89"/>
      <c r="H104" s="89"/>
      <c r="I104" s="90"/>
      <c r="J104" s="68"/>
      <c r="K104" s="68"/>
      <c r="L104" s="74"/>
      <c r="M104" s="74"/>
      <c r="N104" s="74"/>
      <c r="O104" s="75"/>
      <c r="P104" s="75"/>
      <c r="Q104" s="75">
        <f>200*2*10</f>
        <v>4000</v>
      </c>
      <c r="R104" s="75"/>
      <c r="S104" s="75"/>
      <c r="T104" s="75"/>
      <c r="U104" s="75"/>
      <c r="V104" s="73"/>
      <c r="W104" s="73"/>
      <c r="X104" s="73"/>
    </row>
    <row r="105" spans="1:24" s="76" customFormat="1">
      <c r="A105" s="93"/>
      <c r="B105" s="78" t="s">
        <v>34</v>
      </c>
      <c r="C105" s="94" t="s">
        <v>189</v>
      </c>
      <c r="D105" s="68"/>
      <c r="E105" s="88"/>
      <c r="F105" s="68"/>
      <c r="G105" s="89"/>
      <c r="H105" s="89"/>
      <c r="I105" s="90"/>
      <c r="J105" s="68"/>
      <c r="K105" s="68"/>
      <c r="L105" s="74"/>
      <c r="M105" s="74"/>
      <c r="N105" s="74"/>
      <c r="O105" s="75"/>
      <c r="P105" s="75"/>
      <c r="Q105" s="75">
        <f>100*10</f>
        <v>1000</v>
      </c>
      <c r="R105" s="75"/>
      <c r="S105" s="75"/>
      <c r="T105" s="75"/>
      <c r="U105" s="75"/>
      <c r="V105" s="73"/>
      <c r="W105" s="73"/>
      <c r="X105" s="73"/>
    </row>
    <row r="106" spans="1:24" s="76" customFormat="1">
      <c r="A106" s="93"/>
      <c r="B106" s="78" t="s">
        <v>34</v>
      </c>
      <c r="C106" s="94" t="s">
        <v>190</v>
      </c>
      <c r="D106" s="68"/>
      <c r="E106" s="88"/>
      <c r="F106" s="68"/>
      <c r="G106" s="89"/>
      <c r="H106" s="89"/>
      <c r="I106" s="90"/>
      <c r="J106" s="68"/>
      <c r="K106" s="68"/>
      <c r="L106" s="74"/>
      <c r="M106" s="74"/>
      <c r="N106" s="74"/>
      <c r="O106" s="75"/>
      <c r="P106" s="75"/>
      <c r="Q106" s="75">
        <f>25*4*120</f>
        <v>12000</v>
      </c>
      <c r="R106" s="75"/>
      <c r="S106" s="75"/>
      <c r="T106" s="75"/>
      <c r="U106" s="75"/>
      <c r="V106" s="73"/>
      <c r="W106" s="73"/>
      <c r="X106" s="73"/>
    </row>
    <row r="107" spans="1:24" s="76" customFormat="1">
      <c r="A107" s="93"/>
      <c r="B107" s="78" t="s">
        <v>34</v>
      </c>
      <c r="C107" s="94" t="s">
        <v>191</v>
      </c>
      <c r="D107" s="68"/>
      <c r="E107" s="88"/>
      <c r="F107" s="68"/>
      <c r="G107" s="89"/>
      <c r="H107" s="89"/>
      <c r="I107" s="90"/>
      <c r="J107" s="68"/>
      <c r="K107" s="68"/>
      <c r="L107" s="74"/>
      <c r="M107" s="74"/>
      <c r="N107" s="74"/>
      <c r="O107" s="75"/>
      <c r="P107" s="75"/>
      <c r="Q107" s="75">
        <f>35*3*120</f>
        <v>12600</v>
      </c>
      <c r="R107" s="75"/>
      <c r="S107" s="75"/>
      <c r="T107" s="75"/>
      <c r="U107" s="75"/>
      <c r="V107" s="73"/>
      <c r="W107" s="73"/>
      <c r="X107" s="73"/>
    </row>
    <row r="108" spans="1:24" s="76" customFormat="1">
      <c r="A108" s="93"/>
      <c r="B108" s="78" t="s">
        <v>34</v>
      </c>
      <c r="C108" s="94" t="s">
        <v>192</v>
      </c>
      <c r="D108" s="68"/>
      <c r="E108" s="88"/>
      <c r="F108" s="68"/>
      <c r="G108" s="89"/>
      <c r="H108" s="89"/>
      <c r="I108" s="90"/>
      <c r="J108" s="68"/>
      <c r="K108" s="68"/>
      <c r="L108" s="74"/>
      <c r="M108" s="74"/>
      <c r="N108" s="74"/>
      <c r="O108" s="75"/>
      <c r="P108" s="75"/>
      <c r="Q108" s="75">
        <v>10000</v>
      </c>
      <c r="R108" s="75"/>
      <c r="S108" s="75"/>
      <c r="T108" s="75"/>
      <c r="U108" s="75"/>
      <c r="V108" s="73"/>
      <c r="W108" s="73"/>
      <c r="X108" s="73"/>
    </row>
    <row r="109" spans="1:24" s="76" customFormat="1">
      <c r="A109" s="93"/>
      <c r="B109" s="78" t="s">
        <v>34</v>
      </c>
      <c r="C109" s="94" t="s">
        <v>193</v>
      </c>
      <c r="D109" s="68"/>
      <c r="E109" s="88"/>
      <c r="F109" s="68"/>
      <c r="G109" s="89"/>
      <c r="H109" s="89"/>
      <c r="I109" s="90"/>
      <c r="J109" s="68"/>
      <c r="K109" s="68"/>
      <c r="L109" s="74"/>
      <c r="M109" s="74"/>
      <c r="N109" s="74"/>
      <c r="O109" s="75"/>
      <c r="P109" s="75"/>
      <c r="Q109" s="75">
        <f>5000</f>
        <v>5000</v>
      </c>
      <c r="R109" s="75"/>
      <c r="S109" s="75"/>
      <c r="T109" s="75"/>
      <c r="U109" s="75"/>
      <c r="V109" s="73"/>
      <c r="W109" s="73"/>
      <c r="X109" s="73"/>
    </row>
    <row r="110" spans="1:24" s="76" customFormat="1">
      <c r="A110" s="93"/>
      <c r="B110" s="78" t="s">
        <v>34</v>
      </c>
      <c r="C110" s="94" t="s">
        <v>72</v>
      </c>
      <c r="D110" s="68"/>
      <c r="E110" s="88"/>
      <c r="F110" s="68"/>
      <c r="G110" s="89"/>
      <c r="H110" s="89"/>
      <c r="I110" s="90"/>
      <c r="J110" s="68"/>
      <c r="K110" s="68"/>
      <c r="L110" s="74"/>
      <c r="M110" s="74"/>
      <c r="N110" s="74"/>
      <c r="O110" s="75"/>
      <c r="P110" s="75"/>
      <c r="Q110" s="75">
        <v>3000</v>
      </c>
      <c r="R110" s="75"/>
      <c r="S110" s="75"/>
      <c r="T110" s="75"/>
      <c r="U110" s="75"/>
      <c r="V110" s="73"/>
      <c r="W110" s="73"/>
      <c r="X110" s="73"/>
    </row>
    <row r="111" spans="1:24" s="76" customFormat="1">
      <c r="A111" s="95"/>
      <c r="B111" s="68" t="s">
        <v>34</v>
      </c>
      <c r="C111" s="94" t="s">
        <v>78</v>
      </c>
      <c r="D111" s="68"/>
      <c r="E111" s="88"/>
      <c r="F111" s="68"/>
      <c r="G111" s="89"/>
      <c r="H111" s="89"/>
      <c r="I111" s="90"/>
      <c r="J111" s="68"/>
      <c r="K111" s="68"/>
      <c r="L111" s="74"/>
      <c r="M111" s="74"/>
      <c r="N111" s="74"/>
      <c r="O111" s="75"/>
      <c r="P111" s="75"/>
      <c r="Q111" s="75">
        <v>2400</v>
      </c>
      <c r="R111" s="75"/>
      <c r="S111" s="75"/>
      <c r="T111" s="75"/>
      <c r="U111" s="75"/>
      <c r="V111" s="73"/>
      <c r="W111" s="73"/>
      <c r="X111" s="73"/>
    </row>
    <row r="112" spans="1:24" s="76" customFormat="1" ht="42">
      <c r="A112" s="66" t="s">
        <v>194</v>
      </c>
      <c r="B112" s="67" t="s">
        <v>181</v>
      </c>
      <c r="C112" s="68" t="s">
        <v>195</v>
      </c>
      <c r="D112" s="68"/>
      <c r="E112" s="88"/>
      <c r="F112" s="68"/>
      <c r="G112" s="89"/>
      <c r="H112" s="89"/>
      <c r="I112" s="90"/>
      <c r="J112" s="68"/>
      <c r="K112" s="68"/>
      <c r="L112" s="74"/>
      <c r="M112" s="74">
        <f>N112+O112+S112+T112+W112+X112</f>
        <v>30000</v>
      </c>
      <c r="N112" s="74"/>
      <c r="O112" s="75"/>
      <c r="P112" s="75">
        <v>0</v>
      </c>
      <c r="Q112" s="75">
        <f>SUM(Q113:Q116)</f>
        <v>30000</v>
      </c>
      <c r="R112" s="75">
        <v>0</v>
      </c>
      <c r="S112" s="75">
        <f>SUM(P112:R112)</f>
        <v>30000</v>
      </c>
      <c r="T112" s="75"/>
      <c r="U112" s="75"/>
      <c r="V112" s="73"/>
      <c r="W112" s="73"/>
      <c r="X112" s="73"/>
    </row>
    <row r="113" spans="1:24" s="76" customFormat="1">
      <c r="A113" s="93"/>
      <c r="B113" s="78" t="s">
        <v>34</v>
      </c>
      <c r="C113" s="94" t="s">
        <v>196</v>
      </c>
      <c r="D113" s="68"/>
      <c r="E113" s="88"/>
      <c r="F113" s="68"/>
      <c r="G113" s="89"/>
      <c r="H113" s="89"/>
      <c r="I113" s="90"/>
      <c r="J113" s="68"/>
      <c r="K113" s="68"/>
      <c r="L113" s="74"/>
      <c r="M113" s="74"/>
      <c r="N113" s="74"/>
      <c r="O113" s="75"/>
      <c r="P113" s="75"/>
      <c r="Q113" s="75">
        <v>7000</v>
      </c>
      <c r="R113" s="75"/>
      <c r="S113" s="75"/>
      <c r="T113" s="75"/>
      <c r="U113" s="75"/>
      <c r="V113" s="73"/>
      <c r="W113" s="73"/>
      <c r="X113" s="73"/>
    </row>
    <row r="114" spans="1:24" s="76" customFormat="1">
      <c r="A114" s="93"/>
      <c r="B114" s="78" t="s">
        <v>34</v>
      </c>
      <c r="C114" s="94" t="s">
        <v>197</v>
      </c>
      <c r="D114" s="68"/>
      <c r="E114" s="88"/>
      <c r="F114" s="68"/>
      <c r="G114" s="89"/>
      <c r="H114" s="89"/>
      <c r="I114" s="90"/>
      <c r="J114" s="68"/>
      <c r="K114" s="68"/>
      <c r="L114" s="74"/>
      <c r="M114" s="74"/>
      <c r="N114" s="74"/>
      <c r="O114" s="75"/>
      <c r="P114" s="75"/>
      <c r="Q114" s="75">
        <v>7000</v>
      </c>
      <c r="R114" s="75"/>
      <c r="S114" s="75"/>
      <c r="T114" s="75"/>
      <c r="U114" s="75"/>
      <c r="V114" s="73"/>
      <c r="W114" s="73"/>
      <c r="X114" s="73"/>
    </row>
    <row r="115" spans="1:24" s="76" customFormat="1">
      <c r="A115" s="93"/>
      <c r="B115" s="78" t="s">
        <v>34</v>
      </c>
      <c r="C115" s="94" t="s">
        <v>198</v>
      </c>
      <c r="D115" s="68"/>
      <c r="E115" s="88"/>
      <c r="F115" s="68"/>
      <c r="G115" s="89"/>
      <c r="H115" s="89"/>
      <c r="I115" s="90"/>
      <c r="J115" s="68"/>
      <c r="K115" s="68"/>
      <c r="L115" s="74"/>
      <c r="M115" s="74"/>
      <c r="N115" s="74"/>
      <c r="O115" s="75"/>
      <c r="P115" s="75"/>
      <c r="Q115" s="75">
        <v>12000</v>
      </c>
      <c r="R115" s="75"/>
      <c r="S115" s="75"/>
      <c r="T115" s="75"/>
      <c r="U115" s="75"/>
      <c r="V115" s="73"/>
      <c r="W115" s="73"/>
      <c r="X115" s="73"/>
    </row>
    <row r="116" spans="1:24" s="76" customFormat="1">
      <c r="A116" s="95"/>
      <c r="B116" s="68" t="s">
        <v>34</v>
      </c>
      <c r="C116" s="94" t="s">
        <v>199</v>
      </c>
      <c r="D116" s="68"/>
      <c r="E116" s="88"/>
      <c r="F116" s="68"/>
      <c r="G116" s="89"/>
      <c r="H116" s="89"/>
      <c r="I116" s="90"/>
      <c r="J116" s="68"/>
      <c r="K116" s="68"/>
      <c r="L116" s="74"/>
      <c r="M116" s="74"/>
      <c r="N116" s="74"/>
      <c r="O116" s="75"/>
      <c r="P116" s="75"/>
      <c r="Q116" s="75">
        <v>4000</v>
      </c>
      <c r="R116" s="75"/>
      <c r="S116" s="75"/>
      <c r="T116" s="75"/>
      <c r="U116" s="75"/>
      <c r="V116" s="73"/>
      <c r="W116" s="73"/>
      <c r="X116" s="73"/>
    </row>
    <row r="117" spans="1:24" s="76" customFormat="1" ht="42">
      <c r="A117" s="66" t="s">
        <v>200</v>
      </c>
      <c r="B117" s="67" t="s">
        <v>181</v>
      </c>
      <c r="C117" s="68" t="s">
        <v>201</v>
      </c>
      <c r="D117" s="68"/>
      <c r="E117" s="88"/>
      <c r="F117" s="68"/>
      <c r="G117" s="89"/>
      <c r="H117" s="89"/>
      <c r="I117" s="90"/>
      <c r="J117" s="68"/>
      <c r="K117" s="68"/>
      <c r="L117" s="74"/>
      <c r="M117" s="74">
        <f>N117+O117+S117+T117+W117+X117</f>
        <v>50000</v>
      </c>
      <c r="N117" s="74"/>
      <c r="O117" s="75"/>
      <c r="P117" s="75">
        <f>SUM(Q118)</f>
        <v>3600</v>
      </c>
      <c r="Q117" s="75">
        <f>SUM(Q119:Q124)</f>
        <v>46400</v>
      </c>
      <c r="R117" s="75">
        <v>0</v>
      </c>
      <c r="S117" s="75">
        <f>SUM(P117:R117)</f>
        <v>50000</v>
      </c>
      <c r="T117" s="75"/>
      <c r="U117" s="75"/>
      <c r="V117" s="73"/>
      <c r="W117" s="73"/>
      <c r="X117" s="73"/>
    </row>
    <row r="118" spans="1:24" s="76" customFormat="1">
      <c r="A118" s="93"/>
      <c r="B118" s="78" t="s">
        <v>34</v>
      </c>
      <c r="C118" s="94" t="s">
        <v>202</v>
      </c>
      <c r="D118" s="68"/>
      <c r="E118" s="88"/>
      <c r="F118" s="68"/>
      <c r="G118" s="89"/>
      <c r="H118" s="89"/>
      <c r="I118" s="90"/>
      <c r="J118" s="68"/>
      <c r="K118" s="68"/>
      <c r="L118" s="74"/>
      <c r="M118" s="74"/>
      <c r="N118" s="74"/>
      <c r="O118" s="75"/>
      <c r="P118" s="75"/>
      <c r="Q118" s="75">
        <f>600*6</f>
        <v>3600</v>
      </c>
      <c r="R118" s="75"/>
      <c r="S118" s="75"/>
      <c r="T118" s="75"/>
      <c r="U118" s="75"/>
      <c r="V118" s="73"/>
      <c r="W118" s="73"/>
      <c r="X118" s="73"/>
    </row>
    <row r="119" spans="1:24" s="76" customFormat="1">
      <c r="A119" s="93"/>
      <c r="B119" s="78" t="s">
        <v>34</v>
      </c>
      <c r="C119" s="94" t="s">
        <v>203</v>
      </c>
      <c r="D119" s="68"/>
      <c r="E119" s="88"/>
      <c r="F119" s="68"/>
      <c r="G119" s="89"/>
      <c r="H119" s="89"/>
      <c r="I119" s="90"/>
      <c r="J119" s="68"/>
      <c r="K119" s="68"/>
      <c r="L119" s="74"/>
      <c r="M119" s="74"/>
      <c r="N119" s="74"/>
      <c r="O119" s="75"/>
      <c r="P119" s="75"/>
      <c r="Q119" s="75">
        <f>1000*2*2</f>
        <v>4000</v>
      </c>
      <c r="R119" s="75"/>
      <c r="S119" s="75"/>
      <c r="T119" s="75"/>
      <c r="U119" s="75"/>
      <c r="V119" s="73"/>
      <c r="W119" s="73"/>
      <c r="X119" s="73"/>
    </row>
    <row r="120" spans="1:24" s="76" customFormat="1" ht="37.5">
      <c r="A120" s="93"/>
      <c r="B120" s="78" t="s">
        <v>34</v>
      </c>
      <c r="C120" s="94" t="s">
        <v>204</v>
      </c>
      <c r="D120" s="68"/>
      <c r="E120" s="88"/>
      <c r="F120" s="68"/>
      <c r="G120" s="89"/>
      <c r="H120" s="89"/>
      <c r="I120" s="90"/>
      <c r="J120" s="68"/>
      <c r="K120" s="68"/>
      <c r="L120" s="74"/>
      <c r="M120" s="74"/>
      <c r="N120" s="74"/>
      <c r="O120" s="75"/>
      <c r="P120" s="75"/>
      <c r="Q120" s="75">
        <f>5000*2</f>
        <v>10000</v>
      </c>
      <c r="R120" s="75"/>
      <c r="S120" s="75"/>
      <c r="T120" s="75"/>
      <c r="U120" s="75"/>
      <c r="V120" s="73"/>
      <c r="W120" s="73"/>
      <c r="X120" s="73"/>
    </row>
    <row r="121" spans="1:24" s="76" customFormat="1">
      <c r="A121" s="93"/>
      <c r="B121" s="78" t="s">
        <v>34</v>
      </c>
      <c r="C121" s="94" t="s">
        <v>162</v>
      </c>
      <c r="D121" s="68"/>
      <c r="E121" s="88"/>
      <c r="F121" s="68"/>
      <c r="G121" s="89"/>
      <c r="H121" s="89"/>
      <c r="I121" s="90"/>
      <c r="J121" s="68"/>
      <c r="K121" s="68"/>
      <c r="L121" s="74"/>
      <c r="M121" s="74"/>
      <c r="N121" s="74"/>
      <c r="O121" s="75"/>
      <c r="P121" s="75"/>
      <c r="Q121" s="75">
        <v>4000</v>
      </c>
      <c r="R121" s="75"/>
      <c r="S121" s="75"/>
      <c r="T121" s="75"/>
      <c r="U121" s="75"/>
      <c r="V121" s="73"/>
      <c r="W121" s="73"/>
      <c r="X121" s="73"/>
    </row>
    <row r="122" spans="1:24" s="76" customFormat="1">
      <c r="A122" s="93"/>
      <c r="B122" s="78" t="s">
        <v>34</v>
      </c>
      <c r="C122" s="94" t="s">
        <v>205</v>
      </c>
      <c r="D122" s="68"/>
      <c r="E122" s="88"/>
      <c r="F122" s="68"/>
      <c r="G122" s="89"/>
      <c r="H122" s="89"/>
      <c r="I122" s="90"/>
      <c r="J122" s="68"/>
      <c r="K122" s="68"/>
      <c r="L122" s="74"/>
      <c r="M122" s="74"/>
      <c r="N122" s="74"/>
      <c r="O122" s="75"/>
      <c r="P122" s="75"/>
      <c r="Q122" s="75">
        <v>2300</v>
      </c>
      <c r="R122" s="75"/>
      <c r="S122" s="75"/>
      <c r="T122" s="75"/>
      <c r="U122" s="75"/>
      <c r="V122" s="73"/>
      <c r="W122" s="73"/>
      <c r="X122" s="73"/>
    </row>
    <row r="123" spans="1:24" s="76" customFormat="1">
      <c r="A123" s="93"/>
      <c r="B123" s="78" t="s">
        <v>34</v>
      </c>
      <c r="C123" s="94" t="s">
        <v>206</v>
      </c>
      <c r="D123" s="68"/>
      <c r="E123" s="88"/>
      <c r="F123" s="68"/>
      <c r="G123" s="89"/>
      <c r="H123" s="89"/>
      <c r="I123" s="90"/>
      <c r="J123" s="68"/>
      <c r="K123" s="68"/>
      <c r="L123" s="74"/>
      <c r="M123" s="74"/>
      <c r="N123" s="74"/>
      <c r="O123" s="75"/>
      <c r="P123" s="75"/>
      <c r="Q123" s="75">
        <f>60*60*6</f>
        <v>21600</v>
      </c>
      <c r="R123" s="75"/>
      <c r="S123" s="75"/>
      <c r="T123" s="75"/>
      <c r="U123" s="75"/>
      <c r="V123" s="73"/>
      <c r="W123" s="73"/>
      <c r="X123" s="73"/>
    </row>
    <row r="124" spans="1:24" s="76" customFormat="1">
      <c r="A124" s="95"/>
      <c r="B124" s="68" t="s">
        <v>34</v>
      </c>
      <c r="C124" s="94" t="s">
        <v>207</v>
      </c>
      <c r="D124" s="68"/>
      <c r="E124" s="88"/>
      <c r="F124" s="68"/>
      <c r="G124" s="89"/>
      <c r="H124" s="89"/>
      <c r="I124" s="90"/>
      <c r="J124" s="68"/>
      <c r="K124" s="68"/>
      <c r="L124" s="74"/>
      <c r="M124" s="74"/>
      <c r="N124" s="74"/>
      <c r="O124" s="75"/>
      <c r="P124" s="75"/>
      <c r="Q124" s="75">
        <f>60*25*3</f>
        <v>4500</v>
      </c>
      <c r="R124" s="75"/>
      <c r="S124" s="75"/>
      <c r="T124" s="75"/>
      <c r="U124" s="75"/>
      <c r="V124" s="73"/>
      <c r="W124" s="73"/>
      <c r="X124" s="73"/>
    </row>
    <row r="125" spans="1:24" s="76" customFormat="1" ht="42">
      <c r="A125" s="66" t="s">
        <v>208</v>
      </c>
      <c r="B125" s="67" t="s">
        <v>181</v>
      </c>
      <c r="C125" s="68" t="s">
        <v>209</v>
      </c>
      <c r="D125" s="68"/>
      <c r="E125" s="88"/>
      <c r="F125" s="68"/>
      <c r="G125" s="89"/>
      <c r="H125" s="89"/>
      <c r="I125" s="90"/>
      <c r="J125" s="68"/>
      <c r="K125" s="68"/>
      <c r="L125" s="74"/>
      <c r="M125" s="74">
        <f>N125+O125+S125+T125+W125+X125</f>
        <v>27000</v>
      </c>
      <c r="N125" s="74"/>
      <c r="O125" s="75"/>
      <c r="P125" s="75">
        <v>0</v>
      </c>
      <c r="Q125" s="75">
        <f>SUM(Q126:Q131)</f>
        <v>25750</v>
      </c>
      <c r="R125" s="75">
        <f>SUM(Q132)</f>
        <v>1250</v>
      </c>
      <c r="S125" s="75">
        <f>SUM(P125:R125)</f>
        <v>27000</v>
      </c>
      <c r="T125" s="75"/>
      <c r="U125" s="75"/>
      <c r="V125" s="73"/>
      <c r="W125" s="73"/>
      <c r="X125" s="73"/>
    </row>
    <row r="126" spans="1:24" s="76" customFormat="1">
      <c r="A126" s="93"/>
      <c r="B126" s="78" t="s">
        <v>34</v>
      </c>
      <c r="C126" s="94" t="s">
        <v>210</v>
      </c>
      <c r="D126" s="68"/>
      <c r="E126" s="88"/>
      <c r="F126" s="68"/>
      <c r="G126" s="89"/>
      <c r="H126" s="89"/>
      <c r="I126" s="90"/>
      <c r="J126" s="68"/>
      <c r="K126" s="68"/>
      <c r="L126" s="74"/>
      <c r="M126" s="74"/>
      <c r="N126" s="74"/>
      <c r="O126" s="75"/>
      <c r="P126" s="75"/>
      <c r="Q126" s="75">
        <v>2000</v>
      </c>
      <c r="R126" s="75"/>
      <c r="S126" s="75"/>
      <c r="T126" s="75"/>
      <c r="U126" s="75"/>
      <c r="V126" s="73"/>
      <c r="W126" s="73"/>
      <c r="X126" s="73"/>
    </row>
    <row r="127" spans="1:24" s="76" customFormat="1">
      <c r="A127" s="93"/>
      <c r="B127" s="78" t="s">
        <v>34</v>
      </c>
      <c r="C127" s="94" t="s">
        <v>211</v>
      </c>
      <c r="D127" s="68"/>
      <c r="E127" s="88"/>
      <c r="F127" s="68"/>
      <c r="G127" s="89"/>
      <c r="H127" s="89"/>
      <c r="I127" s="90"/>
      <c r="J127" s="68"/>
      <c r="K127" s="68"/>
      <c r="L127" s="74"/>
      <c r="M127" s="74"/>
      <c r="N127" s="74"/>
      <c r="O127" s="75"/>
      <c r="P127" s="75"/>
      <c r="Q127" s="75">
        <v>4000</v>
      </c>
      <c r="R127" s="75"/>
      <c r="S127" s="75"/>
      <c r="T127" s="75"/>
      <c r="U127" s="75"/>
      <c r="V127" s="73"/>
      <c r="W127" s="73"/>
      <c r="X127" s="73"/>
    </row>
    <row r="128" spans="1:24" s="76" customFormat="1">
      <c r="A128" s="93"/>
      <c r="B128" s="78" t="s">
        <v>34</v>
      </c>
      <c r="C128" s="94" t="s">
        <v>212</v>
      </c>
      <c r="D128" s="68"/>
      <c r="E128" s="88"/>
      <c r="F128" s="68"/>
      <c r="G128" s="89"/>
      <c r="H128" s="89"/>
      <c r="I128" s="90"/>
      <c r="J128" s="68"/>
      <c r="K128" s="68"/>
      <c r="L128" s="74"/>
      <c r="M128" s="74"/>
      <c r="N128" s="74"/>
      <c r="O128" s="75"/>
      <c r="P128" s="75"/>
      <c r="Q128" s="75">
        <v>4000</v>
      </c>
      <c r="R128" s="75"/>
      <c r="S128" s="75"/>
      <c r="T128" s="75"/>
      <c r="U128" s="75"/>
      <c r="V128" s="73"/>
      <c r="W128" s="73"/>
      <c r="X128" s="73"/>
    </row>
    <row r="129" spans="1:24" s="76" customFormat="1">
      <c r="A129" s="93"/>
      <c r="B129" s="78" t="s">
        <v>34</v>
      </c>
      <c r="C129" s="94" t="s">
        <v>213</v>
      </c>
      <c r="D129" s="68"/>
      <c r="E129" s="88"/>
      <c r="F129" s="68"/>
      <c r="G129" s="89"/>
      <c r="H129" s="89"/>
      <c r="I129" s="90"/>
      <c r="J129" s="68"/>
      <c r="K129" s="68"/>
      <c r="L129" s="74"/>
      <c r="M129" s="74"/>
      <c r="N129" s="74"/>
      <c r="O129" s="75"/>
      <c r="P129" s="75"/>
      <c r="Q129" s="75">
        <v>500</v>
      </c>
      <c r="R129" s="75"/>
      <c r="S129" s="75"/>
      <c r="T129" s="75"/>
      <c r="U129" s="75"/>
      <c r="V129" s="73"/>
      <c r="W129" s="73"/>
      <c r="X129" s="73"/>
    </row>
    <row r="130" spans="1:24" s="76" customFormat="1">
      <c r="A130" s="93"/>
      <c r="B130" s="78" t="s">
        <v>34</v>
      </c>
      <c r="C130" s="94" t="s">
        <v>214</v>
      </c>
      <c r="D130" s="68"/>
      <c r="E130" s="88"/>
      <c r="F130" s="68"/>
      <c r="G130" s="89"/>
      <c r="H130" s="89"/>
      <c r="I130" s="90"/>
      <c r="J130" s="68"/>
      <c r="K130" s="68"/>
      <c r="L130" s="74"/>
      <c r="M130" s="74"/>
      <c r="N130" s="74"/>
      <c r="O130" s="75"/>
      <c r="P130" s="75"/>
      <c r="Q130" s="75">
        <v>3000</v>
      </c>
      <c r="R130" s="75"/>
      <c r="S130" s="75"/>
      <c r="T130" s="75"/>
      <c r="U130" s="75"/>
      <c r="V130" s="73"/>
      <c r="W130" s="73"/>
      <c r="X130" s="73"/>
    </row>
    <row r="131" spans="1:24" s="76" customFormat="1">
      <c r="A131" s="93"/>
      <c r="B131" s="78" t="s">
        <v>34</v>
      </c>
      <c r="C131" s="94" t="s">
        <v>215</v>
      </c>
      <c r="D131" s="68"/>
      <c r="E131" s="88"/>
      <c r="F131" s="68"/>
      <c r="G131" s="89"/>
      <c r="H131" s="89"/>
      <c r="I131" s="90"/>
      <c r="J131" s="68"/>
      <c r="K131" s="68"/>
      <c r="L131" s="74"/>
      <c r="M131" s="74"/>
      <c r="N131" s="74"/>
      <c r="O131" s="75"/>
      <c r="P131" s="75"/>
      <c r="Q131" s="75">
        <f>490*1*25</f>
        <v>12250</v>
      </c>
      <c r="R131" s="75"/>
      <c r="S131" s="75"/>
      <c r="T131" s="75"/>
      <c r="U131" s="75"/>
      <c r="V131" s="73"/>
      <c r="W131" s="73"/>
      <c r="X131" s="73"/>
    </row>
    <row r="132" spans="1:24" s="76" customFormat="1">
      <c r="A132" s="95"/>
      <c r="B132" s="68" t="s">
        <v>34</v>
      </c>
      <c r="C132" s="94" t="s">
        <v>78</v>
      </c>
      <c r="D132" s="68"/>
      <c r="E132" s="88"/>
      <c r="F132" s="68"/>
      <c r="G132" s="89"/>
      <c r="H132" s="89"/>
      <c r="I132" s="90"/>
      <c r="J132" s="68"/>
      <c r="K132" s="68"/>
      <c r="L132" s="74"/>
      <c r="M132" s="74"/>
      <c r="N132" s="74"/>
      <c r="O132" s="75"/>
      <c r="P132" s="75"/>
      <c r="Q132" s="75">
        <v>1250</v>
      </c>
      <c r="R132" s="75"/>
      <c r="S132" s="75"/>
      <c r="T132" s="75"/>
      <c r="U132" s="75"/>
      <c r="V132" s="73"/>
      <c r="W132" s="73"/>
      <c r="X132" s="73"/>
    </row>
    <row r="133" spans="1:24" s="179" customFormat="1" ht="23.25">
      <c r="A133" s="175" t="s">
        <v>216</v>
      </c>
      <c r="B133" s="176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177">
        <f>470000+2100000</f>
        <v>2570000</v>
      </c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</row>
    <row r="134" spans="1:24" s="179" customFormat="1" ht="25.5">
      <c r="A134" s="175" t="s">
        <v>217</v>
      </c>
      <c r="B134" s="176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178">
        <f>SUM(M135:M149)</f>
        <v>2570000</v>
      </c>
      <c r="N134" s="185"/>
      <c r="O134" s="186"/>
      <c r="P134" s="187"/>
      <c r="Q134" s="188"/>
      <c r="R134" s="188"/>
      <c r="S134" s="178"/>
      <c r="T134" s="178"/>
      <c r="U134" s="178"/>
      <c r="V134" s="178"/>
      <c r="W134" s="178"/>
      <c r="X134" s="178"/>
    </row>
    <row r="135" spans="1:24" s="58" customFormat="1" ht="54">
      <c r="A135" s="51" t="s">
        <v>218</v>
      </c>
      <c r="B135" s="316" t="s">
        <v>41</v>
      </c>
      <c r="C135" s="189" t="s">
        <v>219</v>
      </c>
      <c r="D135" s="52"/>
      <c r="E135" s="53"/>
      <c r="F135" s="52"/>
      <c r="G135" s="54"/>
      <c r="H135" s="54"/>
      <c r="I135" s="52"/>
      <c r="J135" s="52"/>
      <c r="K135" s="52"/>
      <c r="L135" s="55"/>
      <c r="M135" s="74">
        <f>N135+O135+S135+T135+W135+X135</f>
        <v>470000</v>
      </c>
      <c r="N135" s="56">
        <f>SUM(Q136)</f>
        <v>352100</v>
      </c>
      <c r="O135" s="56">
        <v>0</v>
      </c>
      <c r="P135" s="56">
        <f>SUM(Q137:Q138)</f>
        <v>8000</v>
      </c>
      <c r="Q135" s="56">
        <f>SUM(Q139:Q141)</f>
        <v>15000</v>
      </c>
      <c r="R135" s="56">
        <f>SUM(Q142:Q148)</f>
        <v>44900</v>
      </c>
      <c r="S135" s="56">
        <f>SUM(P135:R135)</f>
        <v>67900</v>
      </c>
      <c r="T135" s="56">
        <v>0</v>
      </c>
      <c r="U135" s="56">
        <v>0</v>
      </c>
      <c r="V135" s="56">
        <v>0</v>
      </c>
      <c r="W135" s="56">
        <f>U135+V135</f>
        <v>0</v>
      </c>
      <c r="X135" s="56">
        <v>50000</v>
      </c>
    </row>
    <row r="136" spans="1:24" s="141" customFormat="1">
      <c r="A136" s="190"/>
      <c r="B136" s="191" t="s">
        <v>34</v>
      </c>
      <c r="C136" s="192" t="s">
        <v>220</v>
      </c>
      <c r="D136" s="69"/>
      <c r="E136" s="193"/>
      <c r="F136" s="69"/>
      <c r="G136" s="71"/>
      <c r="H136" s="71"/>
      <c r="I136" s="140"/>
      <c r="J136" s="69"/>
      <c r="K136" s="69"/>
      <c r="L136" s="72"/>
      <c r="M136" s="92"/>
      <c r="N136" s="194"/>
      <c r="O136" s="194"/>
      <c r="P136" s="195"/>
      <c r="Q136" s="195">
        <v>352100</v>
      </c>
      <c r="R136" s="195"/>
      <c r="S136" s="92"/>
      <c r="T136" s="195"/>
      <c r="U136" s="195"/>
      <c r="V136" s="195"/>
      <c r="W136" s="195"/>
      <c r="X136" s="195"/>
    </row>
    <row r="137" spans="1:24" s="141" customFormat="1">
      <c r="A137" s="190"/>
      <c r="B137" s="191" t="s">
        <v>34</v>
      </c>
      <c r="C137" s="192" t="s">
        <v>221</v>
      </c>
      <c r="D137" s="69"/>
      <c r="E137" s="193"/>
      <c r="F137" s="69"/>
      <c r="G137" s="71"/>
      <c r="H137" s="71"/>
      <c r="I137" s="140"/>
      <c r="J137" s="69"/>
      <c r="K137" s="69"/>
      <c r="L137" s="72"/>
      <c r="M137" s="92"/>
      <c r="N137" s="100"/>
      <c r="O137" s="100"/>
      <c r="P137" s="101"/>
      <c r="Q137" s="101">
        <v>5000</v>
      </c>
      <c r="R137" s="101"/>
      <c r="S137" s="92"/>
      <c r="T137" s="101"/>
      <c r="U137" s="101"/>
      <c r="V137" s="101"/>
      <c r="W137" s="101"/>
      <c r="X137" s="101"/>
    </row>
    <row r="138" spans="1:24" s="141" customFormat="1">
      <c r="A138" s="190"/>
      <c r="B138" s="191" t="s">
        <v>34</v>
      </c>
      <c r="C138" s="192" t="s">
        <v>222</v>
      </c>
      <c r="D138" s="69"/>
      <c r="E138" s="193"/>
      <c r="F138" s="69"/>
      <c r="G138" s="71"/>
      <c r="H138" s="71"/>
      <c r="I138" s="140"/>
      <c r="J138" s="69"/>
      <c r="K138" s="69"/>
      <c r="L138" s="72"/>
      <c r="M138" s="92"/>
      <c r="N138" s="194"/>
      <c r="O138" s="194"/>
      <c r="P138" s="195"/>
      <c r="Q138" s="195">
        <v>3000</v>
      </c>
      <c r="R138" s="195"/>
      <c r="S138" s="92"/>
      <c r="T138" s="195"/>
      <c r="U138" s="195"/>
      <c r="V138" s="195"/>
      <c r="W138" s="195"/>
      <c r="X138" s="195"/>
    </row>
    <row r="139" spans="1:24" s="141" customFormat="1">
      <c r="A139" s="190"/>
      <c r="B139" s="191" t="s">
        <v>34</v>
      </c>
      <c r="C139" s="192" t="s">
        <v>223</v>
      </c>
      <c r="D139" s="69"/>
      <c r="E139" s="193"/>
      <c r="F139" s="69"/>
      <c r="G139" s="71"/>
      <c r="H139" s="71"/>
      <c r="I139" s="140"/>
      <c r="J139" s="69"/>
      <c r="K139" s="69"/>
      <c r="L139" s="72"/>
      <c r="M139" s="92"/>
      <c r="N139" s="194"/>
      <c r="O139" s="194"/>
      <c r="P139" s="195"/>
      <c r="Q139" s="195">
        <v>8000</v>
      </c>
      <c r="R139" s="195"/>
      <c r="S139" s="92"/>
      <c r="T139" s="195"/>
      <c r="U139" s="195"/>
      <c r="V139" s="195"/>
      <c r="W139" s="195"/>
      <c r="X139" s="195"/>
    </row>
    <row r="140" spans="1:24" s="141" customFormat="1">
      <c r="A140" s="190"/>
      <c r="B140" s="191" t="s">
        <v>34</v>
      </c>
      <c r="C140" s="192" t="s">
        <v>224</v>
      </c>
      <c r="D140" s="69"/>
      <c r="E140" s="193"/>
      <c r="F140" s="69"/>
      <c r="G140" s="71"/>
      <c r="H140" s="71"/>
      <c r="I140" s="140"/>
      <c r="J140" s="69"/>
      <c r="K140" s="69"/>
      <c r="L140" s="72"/>
      <c r="M140" s="92"/>
      <c r="N140" s="194"/>
      <c r="O140" s="194"/>
      <c r="P140" s="195"/>
      <c r="Q140" s="195">
        <v>5000</v>
      </c>
      <c r="R140" s="195"/>
      <c r="S140" s="92"/>
      <c r="T140" s="195"/>
      <c r="U140" s="195"/>
      <c r="V140" s="195"/>
      <c r="W140" s="195"/>
      <c r="X140" s="195"/>
    </row>
    <row r="141" spans="1:24" s="141" customFormat="1">
      <c r="A141" s="190"/>
      <c r="B141" s="191" t="s">
        <v>34</v>
      </c>
      <c r="C141" s="192" t="s">
        <v>225</v>
      </c>
      <c r="D141" s="69"/>
      <c r="E141" s="193"/>
      <c r="F141" s="69"/>
      <c r="G141" s="71"/>
      <c r="H141" s="71"/>
      <c r="I141" s="140"/>
      <c r="J141" s="69"/>
      <c r="K141" s="69"/>
      <c r="L141" s="72"/>
      <c r="M141" s="92"/>
      <c r="N141" s="194"/>
      <c r="O141" s="194"/>
      <c r="P141" s="195"/>
      <c r="Q141" s="195">
        <v>2000</v>
      </c>
      <c r="R141" s="195"/>
      <c r="S141" s="92"/>
      <c r="T141" s="195"/>
      <c r="U141" s="195"/>
      <c r="V141" s="195"/>
      <c r="W141" s="195"/>
      <c r="X141" s="195"/>
    </row>
    <row r="142" spans="1:24" s="141" customFormat="1">
      <c r="A142" s="190"/>
      <c r="B142" s="191" t="s">
        <v>34</v>
      </c>
      <c r="C142" s="192" t="s">
        <v>76</v>
      </c>
      <c r="D142" s="69"/>
      <c r="E142" s="193"/>
      <c r="F142" s="69"/>
      <c r="G142" s="71"/>
      <c r="H142" s="71"/>
      <c r="I142" s="140"/>
      <c r="J142" s="69"/>
      <c r="K142" s="69"/>
      <c r="L142" s="72"/>
      <c r="M142" s="92"/>
      <c r="N142" s="194"/>
      <c r="O142" s="194"/>
      <c r="P142" s="195"/>
      <c r="Q142" s="195">
        <v>10000</v>
      </c>
      <c r="R142" s="195"/>
      <c r="S142" s="92"/>
      <c r="T142" s="195"/>
      <c r="U142" s="195"/>
      <c r="V142" s="195"/>
      <c r="W142" s="195"/>
      <c r="X142" s="195"/>
    </row>
    <row r="143" spans="1:24" s="141" customFormat="1">
      <c r="A143" s="190"/>
      <c r="B143" s="191" t="s">
        <v>34</v>
      </c>
      <c r="C143" s="192" t="s">
        <v>226</v>
      </c>
      <c r="D143" s="69"/>
      <c r="E143" s="193"/>
      <c r="F143" s="69"/>
      <c r="G143" s="71"/>
      <c r="H143" s="71"/>
      <c r="I143" s="140"/>
      <c r="J143" s="69"/>
      <c r="K143" s="69"/>
      <c r="L143" s="72"/>
      <c r="M143" s="92"/>
      <c r="N143" s="194"/>
      <c r="O143" s="194"/>
      <c r="P143" s="195"/>
      <c r="Q143" s="195">
        <v>10000</v>
      </c>
      <c r="R143" s="195"/>
      <c r="S143" s="92"/>
      <c r="T143" s="195"/>
      <c r="U143" s="195"/>
      <c r="V143" s="195"/>
      <c r="W143" s="195"/>
      <c r="X143" s="195"/>
    </row>
    <row r="144" spans="1:24" s="141" customFormat="1">
      <c r="A144" s="190"/>
      <c r="B144" s="191" t="s">
        <v>34</v>
      </c>
      <c r="C144" s="192" t="s">
        <v>72</v>
      </c>
      <c r="D144" s="69"/>
      <c r="E144" s="193"/>
      <c r="F144" s="69"/>
      <c r="G144" s="71"/>
      <c r="H144" s="71"/>
      <c r="I144" s="140"/>
      <c r="J144" s="69"/>
      <c r="K144" s="69"/>
      <c r="L144" s="72"/>
      <c r="M144" s="92"/>
      <c r="N144" s="194"/>
      <c r="O144" s="194"/>
      <c r="P144" s="195"/>
      <c r="Q144" s="195">
        <v>5000</v>
      </c>
      <c r="R144" s="195"/>
      <c r="S144" s="92"/>
      <c r="T144" s="195"/>
      <c r="U144" s="195"/>
      <c r="V144" s="195"/>
      <c r="W144" s="195"/>
      <c r="X144" s="195"/>
    </row>
    <row r="145" spans="1:24" s="141" customFormat="1">
      <c r="A145" s="190"/>
      <c r="B145" s="191" t="s">
        <v>34</v>
      </c>
      <c r="C145" s="192" t="s">
        <v>227</v>
      </c>
      <c r="D145" s="69"/>
      <c r="E145" s="193"/>
      <c r="F145" s="69"/>
      <c r="G145" s="71"/>
      <c r="H145" s="71"/>
      <c r="I145" s="140"/>
      <c r="J145" s="69"/>
      <c r="K145" s="69"/>
      <c r="L145" s="72"/>
      <c r="M145" s="92"/>
      <c r="N145" s="194"/>
      <c r="O145" s="194"/>
      <c r="P145" s="195"/>
      <c r="Q145" s="195">
        <v>3000</v>
      </c>
      <c r="R145" s="195"/>
      <c r="S145" s="92"/>
      <c r="T145" s="195"/>
      <c r="U145" s="195"/>
      <c r="V145" s="195"/>
      <c r="W145" s="195"/>
      <c r="X145" s="195"/>
    </row>
    <row r="146" spans="1:24" s="141" customFormat="1">
      <c r="A146" s="190"/>
      <c r="B146" s="191" t="s">
        <v>34</v>
      </c>
      <c r="C146" s="192" t="s">
        <v>64</v>
      </c>
      <c r="D146" s="69"/>
      <c r="E146" s="193"/>
      <c r="F146" s="69"/>
      <c r="G146" s="71"/>
      <c r="H146" s="71"/>
      <c r="I146" s="140"/>
      <c r="J146" s="69"/>
      <c r="K146" s="69"/>
      <c r="L146" s="72"/>
      <c r="M146" s="92"/>
      <c r="N146" s="194"/>
      <c r="O146" s="194"/>
      <c r="P146" s="195"/>
      <c r="Q146" s="195">
        <v>8000</v>
      </c>
      <c r="R146" s="195"/>
      <c r="S146" s="92"/>
      <c r="T146" s="195"/>
      <c r="U146" s="195"/>
      <c r="V146" s="195"/>
      <c r="W146" s="195"/>
      <c r="X146" s="195"/>
    </row>
    <row r="147" spans="1:24" s="141" customFormat="1">
      <c r="A147" s="190"/>
      <c r="B147" s="191" t="s">
        <v>34</v>
      </c>
      <c r="C147" s="192" t="s">
        <v>77</v>
      </c>
      <c r="D147" s="69"/>
      <c r="E147" s="193"/>
      <c r="F147" s="69"/>
      <c r="G147" s="71"/>
      <c r="H147" s="71"/>
      <c r="I147" s="140"/>
      <c r="J147" s="69"/>
      <c r="K147" s="69"/>
      <c r="L147" s="72"/>
      <c r="M147" s="92"/>
      <c r="N147" s="194"/>
      <c r="O147" s="194"/>
      <c r="P147" s="195"/>
      <c r="Q147" s="195">
        <v>2000</v>
      </c>
      <c r="R147" s="195"/>
      <c r="S147" s="92"/>
      <c r="T147" s="195"/>
      <c r="U147" s="195"/>
      <c r="V147" s="195"/>
      <c r="W147" s="195"/>
      <c r="X147" s="195"/>
    </row>
    <row r="148" spans="1:24" s="141" customFormat="1">
      <c r="A148" s="18"/>
      <c r="B148" s="189" t="s">
        <v>34</v>
      </c>
      <c r="C148" s="192" t="s">
        <v>78</v>
      </c>
      <c r="D148" s="69"/>
      <c r="E148" s="193"/>
      <c r="F148" s="69"/>
      <c r="G148" s="71"/>
      <c r="H148" s="71"/>
      <c r="I148" s="140"/>
      <c r="J148" s="69"/>
      <c r="K148" s="69"/>
      <c r="L148" s="72"/>
      <c r="M148" s="92"/>
      <c r="N148" s="198"/>
      <c r="O148" s="198"/>
      <c r="P148" s="198"/>
      <c r="Q148" s="198">
        <v>6900</v>
      </c>
      <c r="R148" s="198"/>
      <c r="S148" s="92"/>
      <c r="T148" s="198"/>
      <c r="U148" s="198"/>
      <c r="V148" s="198"/>
      <c r="W148" s="198"/>
      <c r="X148" s="198"/>
    </row>
    <row r="149" spans="1:24" s="58" customFormat="1" ht="40.5" customHeight="1">
      <c r="A149" s="51" t="s">
        <v>228</v>
      </c>
      <c r="B149" s="197" t="s">
        <v>55</v>
      </c>
      <c r="C149" s="199" t="s">
        <v>229</v>
      </c>
      <c r="D149" s="199"/>
      <c r="E149" s="200"/>
      <c r="F149" s="199"/>
      <c r="G149" s="201"/>
      <c r="H149" s="201"/>
      <c r="I149" s="54" t="s">
        <v>57</v>
      </c>
      <c r="J149" s="199"/>
      <c r="K149" s="199"/>
      <c r="L149" s="202"/>
      <c r="M149" s="74">
        <f>N149+O149+S149+T149+W149+X149</f>
        <v>2100000</v>
      </c>
      <c r="N149" s="202">
        <v>0</v>
      </c>
      <c r="O149" s="203">
        <f>SUM(Q150)</f>
        <v>236000</v>
      </c>
      <c r="P149" s="204">
        <f>SUM(Q151:Q152)</f>
        <v>500000</v>
      </c>
      <c r="Q149" s="204">
        <f>SUM(Q153:Q157)</f>
        <v>720000</v>
      </c>
      <c r="R149" s="204">
        <f>SUM(Q158:Q166)</f>
        <v>475000</v>
      </c>
      <c r="S149" s="204">
        <f>P149+Q149+R149</f>
        <v>1695000</v>
      </c>
      <c r="T149" s="204">
        <f>SUM(Q168)</f>
        <v>10000</v>
      </c>
      <c r="U149" s="204">
        <f>SUM(Q167)</f>
        <v>50000</v>
      </c>
      <c r="V149" s="56">
        <v>0</v>
      </c>
      <c r="W149" s="56">
        <f>U149+V149</f>
        <v>50000</v>
      </c>
      <c r="X149" s="56">
        <f>SUM(Q169:Q170)</f>
        <v>109000</v>
      </c>
    </row>
    <row r="150" spans="1:24" s="141" customFormat="1">
      <c r="A150" s="190"/>
      <c r="B150" s="191" t="s">
        <v>34</v>
      </c>
      <c r="C150" s="192" t="s">
        <v>230</v>
      </c>
      <c r="D150" s="69"/>
      <c r="E150" s="193"/>
      <c r="F150" s="69"/>
      <c r="G150" s="71"/>
      <c r="H150" s="71"/>
      <c r="I150" s="140"/>
      <c r="J150" s="69"/>
      <c r="K150" s="69"/>
      <c r="L150" s="72"/>
      <c r="M150" s="92"/>
      <c r="N150" s="194"/>
      <c r="O150" s="194"/>
      <c r="P150" s="195"/>
      <c r="Q150" s="195">
        <v>236000</v>
      </c>
      <c r="R150" s="195"/>
      <c r="S150" s="92"/>
      <c r="T150" s="195"/>
      <c r="U150" s="195"/>
      <c r="V150" s="195"/>
      <c r="W150" s="195"/>
      <c r="X150" s="195"/>
    </row>
    <row r="151" spans="1:24" s="141" customFormat="1">
      <c r="A151" s="190"/>
      <c r="B151" s="191" t="s">
        <v>34</v>
      </c>
      <c r="C151" s="192" t="s">
        <v>221</v>
      </c>
      <c r="D151" s="69"/>
      <c r="E151" s="193"/>
      <c r="F151" s="69"/>
      <c r="G151" s="71"/>
      <c r="H151" s="71"/>
      <c r="I151" s="140"/>
      <c r="J151" s="69"/>
      <c r="K151" s="69"/>
      <c r="L151" s="72"/>
      <c r="M151" s="92"/>
      <c r="N151" s="194"/>
      <c r="O151" s="194"/>
      <c r="P151" s="195"/>
      <c r="Q151" s="195">
        <v>450000</v>
      </c>
      <c r="R151" s="195"/>
      <c r="S151" s="92"/>
      <c r="T151" s="195"/>
      <c r="U151" s="195"/>
      <c r="V151" s="195"/>
      <c r="W151" s="195"/>
      <c r="X151" s="195"/>
    </row>
    <row r="152" spans="1:24" s="141" customFormat="1">
      <c r="A152" s="190"/>
      <c r="B152" s="191" t="s">
        <v>34</v>
      </c>
      <c r="C152" s="192" t="s">
        <v>222</v>
      </c>
      <c r="D152" s="69"/>
      <c r="E152" s="193"/>
      <c r="F152" s="69"/>
      <c r="G152" s="71"/>
      <c r="H152" s="71"/>
      <c r="I152" s="140"/>
      <c r="J152" s="69"/>
      <c r="K152" s="69"/>
      <c r="L152" s="72"/>
      <c r="M152" s="92"/>
      <c r="N152" s="194"/>
      <c r="O152" s="194"/>
      <c r="P152" s="195"/>
      <c r="Q152" s="195">
        <v>50000</v>
      </c>
      <c r="R152" s="195"/>
      <c r="S152" s="92"/>
      <c r="T152" s="195"/>
      <c r="U152" s="195"/>
      <c r="V152" s="195"/>
      <c r="W152" s="195"/>
      <c r="X152" s="195"/>
    </row>
    <row r="153" spans="1:24" s="141" customFormat="1">
      <c r="A153" s="190"/>
      <c r="B153" s="191" t="s">
        <v>34</v>
      </c>
      <c r="C153" s="192" t="s">
        <v>223</v>
      </c>
      <c r="D153" s="69"/>
      <c r="E153" s="193"/>
      <c r="F153" s="69"/>
      <c r="G153" s="71"/>
      <c r="H153" s="71"/>
      <c r="I153" s="140"/>
      <c r="J153" s="69"/>
      <c r="K153" s="69"/>
      <c r="L153" s="72"/>
      <c r="M153" s="92"/>
      <c r="N153" s="194"/>
      <c r="O153" s="194"/>
      <c r="P153" s="195"/>
      <c r="Q153" s="195">
        <v>150000</v>
      </c>
      <c r="R153" s="195"/>
      <c r="S153" s="92"/>
      <c r="T153" s="195"/>
      <c r="U153" s="195"/>
      <c r="V153" s="195"/>
      <c r="W153" s="195"/>
      <c r="X153" s="195"/>
    </row>
    <row r="154" spans="1:24" s="141" customFormat="1">
      <c r="A154" s="190"/>
      <c r="B154" s="191" t="s">
        <v>34</v>
      </c>
      <c r="C154" s="192" t="s">
        <v>224</v>
      </c>
      <c r="D154" s="69"/>
      <c r="E154" s="193"/>
      <c r="F154" s="69"/>
      <c r="G154" s="71"/>
      <c r="H154" s="71"/>
      <c r="I154" s="140"/>
      <c r="J154" s="69"/>
      <c r="K154" s="69"/>
      <c r="L154" s="72"/>
      <c r="M154" s="92"/>
      <c r="N154" s="194"/>
      <c r="O154" s="194"/>
      <c r="P154" s="195"/>
      <c r="Q154" s="195">
        <v>150000</v>
      </c>
      <c r="R154" s="195"/>
      <c r="S154" s="92"/>
      <c r="T154" s="195"/>
      <c r="U154" s="195"/>
      <c r="V154" s="195"/>
      <c r="W154" s="195"/>
      <c r="X154" s="195"/>
    </row>
    <row r="155" spans="1:24" s="141" customFormat="1">
      <c r="A155" s="190"/>
      <c r="B155" s="191"/>
      <c r="C155" s="192" t="s">
        <v>231</v>
      </c>
      <c r="D155" s="69"/>
      <c r="E155" s="193"/>
      <c r="F155" s="69"/>
      <c r="G155" s="71"/>
      <c r="H155" s="71"/>
      <c r="I155" s="140"/>
      <c r="J155" s="69"/>
      <c r="K155" s="69"/>
      <c r="L155" s="72"/>
      <c r="M155" s="92"/>
      <c r="N155" s="194"/>
      <c r="O155" s="194"/>
      <c r="P155" s="195"/>
      <c r="Q155" s="195">
        <v>100000</v>
      </c>
      <c r="R155" s="195"/>
      <c r="S155" s="92"/>
      <c r="T155" s="195"/>
      <c r="U155" s="195"/>
      <c r="V155" s="195"/>
      <c r="W155" s="195"/>
      <c r="X155" s="195"/>
    </row>
    <row r="156" spans="1:24" s="141" customFormat="1">
      <c r="A156" s="190"/>
      <c r="B156" s="191"/>
      <c r="C156" s="192" t="s">
        <v>232</v>
      </c>
      <c r="D156" s="69"/>
      <c r="E156" s="193"/>
      <c r="F156" s="69"/>
      <c r="G156" s="71"/>
      <c r="H156" s="71"/>
      <c r="I156" s="140"/>
      <c r="J156" s="69"/>
      <c r="K156" s="69"/>
      <c r="L156" s="72"/>
      <c r="M156" s="92"/>
      <c r="N156" s="194"/>
      <c r="O156" s="194"/>
      <c r="P156" s="195"/>
      <c r="Q156" s="195">
        <v>200000</v>
      </c>
      <c r="R156" s="195"/>
      <c r="S156" s="92"/>
      <c r="T156" s="195"/>
      <c r="U156" s="195"/>
      <c r="V156" s="195"/>
      <c r="W156" s="195"/>
      <c r="X156" s="195"/>
    </row>
    <row r="157" spans="1:24" s="141" customFormat="1">
      <c r="A157" s="190"/>
      <c r="B157" s="191" t="s">
        <v>34</v>
      </c>
      <c r="C157" s="192" t="s">
        <v>225</v>
      </c>
      <c r="D157" s="69"/>
      <c r="E157" s="193"/>
      <c r="F157" s="69"/>
      <c r="G157" s="71"/>
      <c r="H157" s="71"/>
      <c r="I157" s="140"/>
      <c r="J157" s="69"/>
      <c r="K157" s="69"/>
      <c r="L157" s="72"/>
      <c r="M157" s="92"/>
      <c r="N157" s="194"/>
      <c r="O157" s="194"/>
      <c r="P157" s="195"/>
      <c r="Q157" s="195">
        <v>120000</v>
      </c>
      <c r="R157" s="195"/>
      <c r="S157" s="92"/>
      <c r="T157" s="195"/>
      <c r="U157" s="195"/>
      <c r="V157" s="195"/>
      <c r="W157" s="195"/>
      <c r="X157" s="195"/>
    </row>
    <row r="158" spans="1:24" s="141" customFormat="1">
      <c r="A158" s="190"/>
      <c r="B158" s="191" t="s">
        <v>34</v>
      </c>
      <c r="C158" s="192" t="s">
        <v>76</v>
      </c>
      <c r="D158" s="69"/>
      <c r="E158" s="193"/>
      <c r="F158" s="69"/>
      <c r="G158" s="71"/>
      <c r="H158" s="71"/>
      <c r="I158" s="140"/>
      <c r="J158" s="69"/>
      <c r="K158" s="69"/>
      <c r="L158" s="72"/>
      <c r="M158" s="92"/>
      <c r="N158" s="194"/>
      <c r="O158" s="194"/>
      <c r="P158" s="195"/>
      <c r="Q158" s="195">
        <v>150000</v>
      </c>
      <c r="R158" s="195"/>
      <c r="S158" s="92"/>
      <c r="T158" s="195"/>
      <c r="U158" s="195"/>
      <c r="V158" s="195"/>
      <c r="W158" s="195"/>
      <c r="X158" s="195"/>
    </row>
    <row r="159" spans="1:24" s="141" customFormat="1">
      <c r="A159" s="190"/>
      <c r="B159" s="191" t="s">
        <v>34</v>
      </c>
      <c r="C159" s="192" t="s">
        <v>226</v>
      </c>
      <c r="D159" s="69"/>
      <c r="E159" s="193"/>
      <c r="F159" s="69"/>
      <c r="G159" s="71"/>
      <c r="H159" s="71"/>
      <c r="I159" s="140"/>
      <c r="J159" s="69"/>
      <c r="K159" s="69"/>
      <c r="L159" s="72"/>
      <c r="M159" s="92"/>
      <c r="N159" s="194"/>
      <c r="O159" s="194"/>
      <c r="P159" s="195"/>
      <c r="Q159" s="195">
        <v>100000</v>
      </c>
      <c r="R159" s="195"/>
      <c r="S159" s="92"/>
      <c r="T159" s="195"/>
      <c r="U159" s="195"/>
      <c r="V159" s="195"/>
      <c r="W159" s="195"/>
      <c r="X159" s="195"/>
    </row>
    <row r="160" spans="1:24" s="141" customFormat="1">
      <c r="A160" s="190"/>
      <c r="B160" s="191" t="s">
        <v>34</v>
      </c>
      <c r="C160" s="192" t="s">
        <v>72</v>
      </c>
      <c r="D160" s="69"/>
      <c r="E160" s="193"/>
      <c r="F160" s="69"/>
      <c r="G160" s="71"/>
      <c r="H160" s="71"/>
      <c r="I160" s="140"/>
      <c r="J160" s="69"/>
      <c r="K160" s="69"/>
      <c r="L160" s="72"/>
      <c r="M160" s="92"/>
      <c r="N160" s="194"/>
      <c r="O160" s="194"/>
      <c r="P160" s="195"/>
      <c r="Q160" s="195">
        <v>50000</v>
      </c>
      <c r="R160" s="195"/>
      <c r="S160" s="92"/>
      <c r="T160" s="195"/>
      <c r="U160" s="195"/>
      <c r="V160" s="195"/>
      <c r="W160" s="195"/>
      <c r="X160" s="195"/>
    </row>
    <row r="161" spans="1:24" s="141" customFormat="1">
      <c r="A161" s="190"/>
      <c r="B161" s="191" t="s">
        <v>34</v>
      </c>
      <c r="C161" s="192" t="s">
        <v>227</v>
      </c>
      <c r="D161" s="69"/>
      <c r="E161" s="193"/>
      <c r="F161" s="69"/>
      <c r="G161" s="71"/>
      <c r="H161" s="71"/>
      <c r="I161" s="140"/>
      <c r="J161" s="69"/>
      <c r="K161" s="69"/>
      <c r="L161" s="72"/>
      <c r="M161" s="92"/>
      <c r="N161" s="100"/>
      <c r="O161" s="100"/>
      <c r="P161" s="101"/>
      <c r="Q161" s="101">
        <v>35000</v>
      </c>
      <c r="R161" s="101"/>
      <c r="S161" s="92"/>
      <c r="T161" s="101"/>
      <c r="U161" s="101"/>
      <c r="V161" s="101"/>
      <c r="W161" s="101"/>
      <c r="X161" s="101"/>
    </row>
    <row r="162" spans="1:24" s="141" customFormat="1">
      <c r="A162" s="190"/>
      <c r="B162" s="191" t="s">
        <v>34</v>
      </c>
      <c r="C162" s="192" t="s">
        <v>64</v>
      </c>
      <c r="D162" s="69"/>
      <c r="E162" s="193"/>
      <c r="F162" s="69"/>
      <c r="G162" s="71"/>
      <c r="H162" s="71"/>
      <c r="I162" s="18"/>
      <c r="J162" s="69"/>
      <c r="K162" s="69"/>
      <c r="L162" s="72"/>
      <c r="M162" s="122"/>
      <c r="N162" s="205"/>
      <c r="O162" s="205"/>
      <c r="P162" s="206"/>
      <c r="Q162" s="206">
        <v>50000</v>
      </c>
      <c r="R162" s="206"/>
      <c r="S162" s="122"/>
      <c r="T162" s="206"/>
      <c r="U162" s="206"/>
      <c r="V162" s="206"/>
      <c r="W162" s="206"/>
      <c r="X162" s="206"/>
    </row>
    <row r="163" spans="1:24" s="141" customFormat="1">
      <c r="A163" s="190"/>
      <c r="B163" s="191"/>
      <c r="C163" s="192" t="s">
        <v>233</v>
      </c>
      <c r="D163" s="69"/>
      <c r="E163" s="193"/>
      <c r="F163" s="69"/>
      <c r="G163" s="71"/>
      <c r="H163" s="71"/>
      <c r="I163" s="140"/>
      <c r="J163" s="69"/>
      <c r="K163" s="69"/>
      <c r="L163" s="72"/>
      <c r="M163" s="92"/>
      <c r="N163" s="194"/>
      <c r="O163" s="194"/>
      <c r="P163" s="195"/>
      <c r="Q163" s="195">
        <v>5000</v>
      </c>
      <c r="R163" s="195"/>
      <c r="S163" s="92"/>
      <c r="T163" s="195"/>
      <c r="U163" s="195"/>
      <c r="V163" s="195"/>
      <c r="W163" s="195"/>
      <c r="X163" s="195"/>
    </row>
    <row r="164" spans="1:24" s="141" customFormat="1">
      <c r="A164" s="190"/>
      <c r="B164" s="191" t="s">
        <v>34</v>
      </c>
      <c r="C164" s="192" t="s">
        <v>77</v>
      </c>
      <c r="D164" s="69"/>
      <c r="E164" s="193"/>
      <c r="F164" s="69"/>
      <c r="G164" s="71"/>
      <c r="H164" s="71"/>
      <c r="I164" s="140"/>
      <c r="J164" s="69"/>
      <c r="K164" s="69"/>
      <c r="L164" s="72"/>
      <c r="M164" s="92"/>
      <c r="N164" s="194"/>
      <c r="O164" s="194"/>
      <c r="P164" s="195"/>
      <c r="Q164" s="195">
        <v>50000</v>
      </c>
      <c r="R164" s="195"/>
      <c r="S164" s="92"/>
      <c r="T164" s="195"/>
      <c r="U164" s="195"/>
      <c r="V164" s="195"/>
      <c r="W164" s="195"/>
      <c r="X164" s="195"/>
    </row>
    <row r="165" spans="1:24" s="141" customFormat="1">
      <c r="A165" s="190"/>
      <c r="B165" s="191"/>
      <c r="C165" s="192" t="s">
        <v>234</v>
      </c>
      <c r="D165" s="69"/>
      <c r="E165" s="193"/>
      <c r="F165" s="69"/>
      <c r="G165" s="71"/>
      <c r="H165" s="71"/>
      <c r="I165" s="140"/>
      <c r="J165" s="69"/>
      <c r="K165" s="69"/>
      <c r="L165" s="72"/>
      <c r="M165" s="92"/>
      <c r="N165" s="194"/>
      <c r="O165" s="194"/>
      <c r="P165" s="195"/>
      <c r="Q165" s="195">
        <v>15000</v>
      </c>
      <c r="R165" s="195"/>
      <c r="S165" s="92"/>
      <c r="T165" s="195"/>
      <c r="U165" s="195"/>
      <c r="V165" s="195"/>
      <c r="W165" s="195"/>
      <c r="X165" s="195"/>
    </row>
    <row r="166" spans="1:24" s="141" customFormat="1">
      <c r="A166" s="190"/>
      <c r="B166" s="191" t="s">
        <v>34</v>
      </c>
      <c r="C166" s="192" t="s">
        <v>78</v>
      </c>
      <c r="D166" s="69"/>
      <c r="E166" s="193"/>
      <c r="F166" s="69"/>
      <c r="G166" s="71"/>
      <c r="H166" s="71"/>
      <c r="I166" s="140"/>
      <c r="J166" s="69"/>
      <c r="K166" s="69"/>
      <c r="L166" s="72"/>
      <c r="M166" s="92"/>
      <c r="N166" s="198"/>
      <c r="O166" s="198"/>
      <c r="P166" s="198"/>
      <c r="Q166" s="198">
        <v>20000</v>
      </c>
      <c r="R166" s="198"/>
      <c r="S166" s="92"/>
      <c r="T166" s="198"/>
      <c r="U166" s="198"/>
      <c r="V166" s="198"/>
      <c r="W166" s="198"/>
      <c r="X166" s="198"/>
    </row>
    <row r="167" spans="1:24" s="141" customFormat="1">
      <c r="A167" s="190"/>
      <c r="B167" s="191" t="s">
        <v>34</v>
      </c>
      <c r="C167" s="192" t="s">
        <v>235</v>
      </c>
      <c r="D167" s="69"/>
      <c r="E167" s="193"/>
      <c r="F167" s="69"/>
      <c r="G167" s="71"/>
      <c r="H167" s="71"/>
      <c r="I167" s="140"/>
      <c r="J167" s="69"/>
      <c r="K167" s="69"/>
      <c r="L167" s="72"/>
      <c r="M167" s="92"/>
      <c r="N167" s="198"/>
      <c r="O167" s="198"/>
      <c r="P167" s="198"/>
      <c r="Q167" s="198">
        <v>50000</v>
      </c>
      <c r="R167" s="198"/>
      <c r="S167" s="92"/>
      <c r="T167" s="198"/>
      <c r="U167" s="198"/>
      <c r="V167" s="198"/>
      <c r="W167" s="198"/>
      <c r="X167" s="198"/>
    </row>
    <row r="168" spans="1:24" s="141" customFormat="1">
      <c r="A168" s="190"/>
      <c r="B168" s="191" t="s">
        <v>34</v>
      </c>
      <c r="C168" s="192" t="s">
        <v>236</v>
      </c>
      <c r="D168" s="69"/>
      <c r="E168" s="193"/>
      <c r="F168" s="69"/>
      <c r="G168" s="71"/>
      <c r="H168" s="71"/>
      <c r="I168" s="140"/>
      <c r="J168" s="69"/>
      <c r="K168" s="69"/>
      <c r="L168" s="72"/>
      <c r="M168" s="92"/>
      <c r="N168" s="198"/>
      <c r="O168" s="198"/>
      <c r="P168" s="198"/>
      <c r="Q168" s="198">
        <v>10000</v>
      </c>
      <c r="R168" s="198"/>
      <c r="S168" s="92"/>
      <c r="T168" s="198"/>
      <c r="U168" s="198"/>
      <c r="V168" s="198"/>
      <c r="W168" s="198"/>
      <c r="X168" s="198"/>
    </row>
    <row r="169" spans="1:24" s="141" customFormat="1">
      <c r="A169" s="190"/>
      <c r="B169" s="191" t="s">
        <v>34</v>
      </c>
      <c r="C169" s="192" t="s">
        <v>237</v>
      </c>
      <c r="D169" s="69"/>
      <c r="E169" s="193"/>
      <c r="F169" s="69"/>
      <c r="G169" s="71"/>
      <c r="H169" s="71"/>
      <c r="I169" s="140"/>
      <c r="J169" s="69"/>
      <c r="K169" s="69"/>
      <c r="L169" s="72"/>
      <c r="M169" s="92"/>
      <c r="N169" s="198"/>
      <c r="O169" s="198"/>
      <c r="P169" s="198"/>
      <c r="Q169" s="198">
        <v>100000</v>
      </c>
      <c r="R169" s="198"/>
      <c r="S169" s="92"/>
      <c r="T169" s="198"/>
      <c r="U169" s="198"/>
      <c r="V169" s="198"/>
      <c r="W169" s="198"/>
      <c r="X169" s="198"/>
    </row>
    <row r="170" spans="1:24" s="141" customFormat="1">
      <c r="A170" s="18"/>
      <c r="B170" s="189" t="s">
        <v>34</v>
      </c>
      <c r="C170" s="192" t="s">
        <v>238</v>
      </c>
      <c r="D170" s="69"/>
      <c r="E170" s="193"/>
      <c r="F170" s="69"/>
      <c r="G170" s="71"/>
      <c r="H170" s="71"/>
      <c r="I170" s="140"/>
      <c r="J170" s="69"/>
      <c r="K170" s="69"/>
      <c r="L170" s="72"/>
      <c r="M170" s="92"/>
      <c r="N170" s="198"/>
      <c r="O170" s="198"/>
      <c r="P170" s="198"/>
      <c r="Q170" s="198">
        <v>9000</v>
      </c>
      <c r="R170" s="198"/>
      <c r="S170" s="92"/>
      <c r="T170" s="198"/>
      <c r="U170" s="198"/>
      <c r="V170" s="198"/>
      <c r="W170" s="198"/>
      <c r="X170" s="198"/>
    </row>
    <row r="171" spans="1:24" s="179" customFormat="1" ht="23.25">
      <c r="A171" s="175" t="s">
        <v>239</v>
      </c>
      <c r="B171" s="176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177">
        <v>6689000</v>
      </c>
      <c r="N171" s="178" t="s">
        <v>34</v>
      </c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</row>
    <row r="172" spans="1:24" s="179" customFormat="1" ht="25.5">
      <c r="A172" s="180" t="s">
        <v>240</v>
      </c>
      <c r="B172" s="176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178">
        <f>M173+M179</f>
        <v>6689000</v>
      </c>
      <c r="N172" s="46" t="s">
        <v>37</v>
      </c>
      <c r="O172" s="47">
        <f>M171-M172</f>
        <v>0</v>
      </c>
      <c r="P172" s="48" t="s">
        <v>38</v>
      </c>
      <c r="Q172" s="49"/>
      <c r="R172" s="49"/>
      <c r="S172" s="178"/>
      <c r="T172" s="178"/>
      <c r="U172" s="178"/>
      <c r="V172" s="178"/>
      <c r="W172" s="178"/>
      <c r="X172" s="178"/>
    </row>
    <row r="173" spans="1:24" s="58" customFormat="1" ht="54">
      <c r="A173" s="51" t="s">
        <v>241</v>
      </c>
      <c r="B173" s="316" t="s">
        <v>41</v>
      </c>
      <c r="C173" s="52" t="s">
        <v>242</v>
      </c>
      <c r="D173" s="52"/>
      <c r="E173" s="53"/>
      <c r="F173" s="52"/>
      <c r="G173" s="54"/>
      <c r="H173" s="54"/>
      <c r="I173" s="52"/>
      <c r="J173" s="52"/>
      <c r="K173" s="52"/>
      <c r="L173" s="55"/>
      <c r="M173" s="56">
        <f>SUBTOTAL(9,Q174:Q177)</f>
        <v>3333750</v>
      </c>
      <c r="N173" s="55" t="s">
        <v>34</v>
      </c>
      <c r="O173" s="55" t="s">
        <v>34</v>
      </c>
      <c r="P173" s="55"/>
      <c r="Q173" s="55"/>
      <c r="R173" s="55"/>
      <c r="S173" s="55"/>
      <c r="T173" s="55"/>
      <c r="U173" s="55"/>
      <c r="V173" s="55"/>
      <c r="W173" s="55"/>
      <c r="X173" s="55"/>
    </row>
    <row r="174" spans="1:24" s="141" customFormat="1">
      <c r="A174" s="207"/>
      <c r="B174" s="208" t="s">
        <v>34</v>
      </c>
      <c r="C174" s="209" t="s">
        <v>220</v>
      </c>
      <c r="D174" s="138"/>
      <c r="E174" s="139"/>
      <c r="F174" s="138"/>
      <c r="G174" s="140"/>
      <c r="H174" s="140"/>
      <c r="I174" s="138"/>
      <c r="J174" s="138"/>
      <c r="K174" s="138"/>
      <c r="L174" s="92"/>
      <c r="M174" s="92"/>
      <c r="N174" s="92"/>
      <c r="O174" s="92"/>
      <c r="P174" s="92"/>
      <c r="Q174" s="92">
        <v>1149600</v>
      </c>
      <c r="R174" s="92"/>
      <c r="S174" s="92"/>
      <c r="T174" s="92"/>
      <c r="U174" s="92"/>
      <c r="V174" s="92"/>
      <c r="W174" s="92"/>
      <c r="X174" s="92"/>
    </row>
    <row r="175" spans="1:24" s="141" customFormat="1">
      <c r="A175" s="207"/>
      <c r="B175" s="208"/>
      <c r="C175" s="209" t="s">
        <v>230</v>
      </c>
      <c r="D175" s="138"/>
      <c r="E175" s="139"/>
      <c r="F175" s="138"/>
      <c r="G175" s="140"/>
      <c r="H175" s="140"/>
      <c r="I175" s="138"/>
      <c r="J175" s="138"/>
      <c r="K175" s="138"/>
      <c r="L175" s="92"/>
      <c r="M175" s="92"/>
      <c r="N175" s="92"/>
      <c r="O175" s="92"/>
      <c r="P175" s="92"/>
      <c r="Q175" s="92">
        <v>85200</v>
      </c>
      <c r="R175" s="92"/>
      <c r="S175" s="92"/>
      <c r="T175" s="92"/>
      <c r="U175" s="92"/>
      <c r="V175" s="92"/>
      <c r="W175" s="92"/>
      <c r="X175" s="92"/>
    </row>
    <row r="176" spans="1:24" s="141" customFormat="1">
      <c r="A176" s="207"/>
      <c r="B176" s="208" t="s">
        <v>34</v>
      </c>
      <c r="C176" s="209" t="s">
        <v>243</v>
      </c>
      <c r="D176" s="138"/>
      <c r="E176" s="139"/>
      <c r="F176" s="138"/>
      <c r="G176" s="140"/>
      <c r="H176" s="140"/>
      <c r="I176" s="138"/>
      <c r="J176" s="138"/>
      <c r="K176" s="138"/>
      <c r="L176" s="92"/>
      <c r="M176" s="92"/>
      <c r="N176" s="92"/>
      <c r="O176" s="92"/>
      <c r="P176" s="92"/>
      <c r="Q176" s="171">
        <f>5354200-M179</f>
        <v>1998950</v>
      </c>
      <c r="R176" s="92"/>
      <c r="S176" s="92"/>
      <c r="T176" s="92"/>
      <c r="U176" s="92"/>
      <c r="V176" s="92"/>
      <c r="W176" s="92"/>
      <c r="X176" s="92"/>
    </row>
    <row r="177" spans="1:24" s="141" customFormat="1">
      <c r="A177" s="207"/>
      <c r="B177" s="208" t="s">
        <v>34</v>
      </c>
      <c r="C177" s="209" t="s">
        <v>235</v>
      </c>
      <c r="D177" s="138"/>
      <c r="E177" s="139"/>
      <c r="F177" s="138"/>
      <c r="G177" s="140"/>
      <c r="H177" s="140"/>
      <c r="I177" s="138"/>
      <c r="J177" s="138"/>
      <c r="K177" s="138"/>
      <c r="L177" s="92"/>
      <c r="M177" s="92"/>
      <c r="N177" s="92"/>
      <c r="O177" s="92"/>
      <c r="P177" s="92"/>
      <c r="Q177" s="92">
        <v>100000</v>
      </c>
      <c r="R177" s="92"/>
      <c r="S177" s="92"/>
      <c r="T177" s="92"/>
      <c r="U177" s="92"/>
      <c r="V177" s="92"/>
      <c r="W177" s="92"/>
      <c r="X177" s="92"/>
    </row>
    <row r="178" spans="1:24" s="141" customFormat="1">
      <c r="A178" s="207"/>
      <c r="B178" s="208" t="s">
        <v>34</v>
      </c>
      <c r="C178" s="209" t="s">
        <v>244</v>
      </c>
      <c r="D178" s="138"/>
      <c r="E178" s="139"/>
      <c r="F178" s="138"/>
      <c r="G178" s="140"/>
      <c r="H178" s="140"/>
      <c r="I178" s="138"/>
      <c r="J178" s="138"/>
      <c r="K178" s="138"/>
      <c r="L178" s="92"/>
      <c r="M178" s="92"/>
      <c r="N178" s="92"/>
      <c r="O178" s="92"/>
      <c r="P178" s="101" t="s">
        <v>245</v>
      </c>
      <c r="Q178" s="92">
        <v>0</v>
      </c>
      <c r="R178" s="92"/>
      <c r="S178" s="92"/>
      <c r="T178" s="92"/>
      <c r="U178" s="92"/>
      <c r="V178" s="92"/>
      <c r="W178" s="92"/>
      <c r="X178" s="92"/>
    </row>
    <row r="179" spans="1:24" s="58" customFormat="1" ht="42">
      <c r="A179" s="210"/>
      <c r="B179" s="182"/>
      <c r="C179" s="52" t="s">
        <v>246</v>
      </c>
      <c r="D179" s="52"/>
      <c r="E179" s="53"/>
      <c r="F179" s="52"/>
      <c r="G179" s="54"/>
      <c r="H179" s="54"/>
      <c r="I179" s="52"/>
      <c r="J179" s="52"/>
      <c r="K179" s="52"/>
      <c r="L179" s="55"/>
      <c r="M179" s="56">
        <f>SUM(M180:M299)</f>
        <v>3355250</v>
      </c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</row>
    <row r="180" spans="1:24" s="218" customFormat="1" ht="54">
      <c r="A180" s="211" t="s">
        <v>247</v>
      </c>
      <c r="B180" s="317" t="s">
        <v>41</v>
      </c>
      <c r="C180" s="213" t="s">
        <v>248</v>
      </c>
      <c r="D180" s="213"/>
      <c r="E180" s="214"/>
      <c r="F180" s="215" t="s">
        <v>34</v>
      </c>
      <c r="G180" s="216"/>
      <c r="H180" s="216"/>
      <c r="I180" s="213"/>
      <c r="J180" s="213"/>
      <c r="K180" s="213"/>
      <c r="L180" s="217"/>
      <c r="M180" s="74">
        <f>N180+O180+S180+T180+W180+X180</f>
        <v>6750</v>
      </c>
      <c r="N180" s="55">
        <v>0</v>
      </c>
      <c r="O180" s="55">
        <v>0</v>
      </c>
      <c r="P180" s="55">
        <v>0</v>
      </c>
      <c r="Q180" s="217">
        <f>SUM(Q181:Q182)</f>
        <v>6750</v>
      </c>
      <c r="R180" s="217">
        <v>0</v>
      </c>
      <c r="S180" s="217">
        <f>SUM(P180:R180)</f>
        <v>6750</v>
      </c>
      <c r="T180" s="217">
        <v>0</v>
      </c>
      <c r="U180" s="217">
        <v>0</v>
      </c>
      <c r="V180" s="217">
        <v>0</v>
      </c>
      <c r="W180" s="217">
        <f>SUM(U180:V180)</f>
        <v>0</v>
      </c>
      <c r="X180" s="217">
        <v>0</v>
      </c>
    </row>
    <row r="181" spans="1:24" s="218" customFormat="1">
      <c r="A181" s="219"/>
      <c r="B181" s="220" t="s">
        <v>39</v>
      </c>
      <c r="C181" s="221" t="s">
        <v>249</v>
      </c>
      <c r="D181" s="213"/>
      <c r="E181" s="214"/>
      <c r="F181" s="217">
        <f>25*40*2</f>
        <v>2000</v>
      </c>
      <c r="G181" s="216"/>
      <c r="H181" s="216"/>
      <c r="I181" s="213"/>
      <c r="J181" s="213"/>
      <c r="K181" s="213"/>
      <c r="L181" s="217"/>
      <c r="M181" s="217"/>
      <c r="N181" s="217"/>
      <c r="O181" s="217"/>
      <c r="P181" s="217"/>
      <c r="Q181" s="217">
        <f>25*15*6</f>
        <v>2250</v>
      </c>
      <c r="R181" s="217"/>
      <c r="S181" s="217"/>
      <c r="T181" s="217"/>
      <c r="U181" s="217"/>
      <c r="V181" s="217"/>
      <c r="W181" s="217"/>
      <c r="X181" s="217"/>
    </row>
    <row r="182" spans="1:24" s="218" customFormat="1">
      <c r="A182" s="222"/>
      <c r="B182" s="223" t="s">
        <v>39</v>
      </c>
      <c r="C182" s="221" t="s">
        <v>250</v>
      </c>
      <c r="D182" s="213"/>
      <c r="E182" s="214"/>
      <c r="F182" s="217">
        <f>80*40</f>
        <v>3200</v>
      </c>
      <c r="G182" s="216"/>
      <c r="H182" s="216"/>
      <c r="I182" s="213"/>
      <c r="J182" s="213"/>
      <c r="K182" s="213"/>
      <c r="L182" s="217"/>
      <c r="M182" s="217"/>
      <c r="N182" s="217"/>
      <c r="O182" s="217"/>
      <c r="P182" s="217"/>
      <c r="Q182" s="217">
        <f>50*15*6</f>
        <v>4500</v>
      </c>
      <c r="R182" s="217"/>
      <c r="S182" s="217"/>
      <c r="T182" s="217"/>
      <c r="U182" s="217"/>
      <c r="V182" s="217"/>
      <c r="W182" s="217"/>
      <c r="X182" s="217"/>
    </row>
    <row r="183" spans="1:24" s="218" customFormat="1" ht="54">
      <c r="A183" s="211" t="s">
        <v>251</v>
      </c>
      <c r="B183" s="317" t="s">
        <v>41</v>
      </c>
      <c r="C183" s="213" t="s">
        <v>252</v>
      </c>
      <c r="D183" s="213"/>
      <c r="E183" s="214"/>
      <c r="F183" s="213"/>
      <c r="G183" s="216"/>
      <c r="H183" s="216"/>
      <c r="I183" s="213"/>
      <c r="J183" s="213"/>
      <c r="K183" s="213"/>
      <c r="L183" s="217"/>
      <c r="M183" s="74">
        <f>N183+O183+S183+T183+W183+X183</f>
        <v>6600</v>
      </c>
      <c r="N183" s="217">
        <v>0</v>
      </c>
      <c r="O183" s="217">
        <v>0</v>
      </c>
      <c r="P183" s="217">
        <v>0</v>
      </c>
      <c r="Q183" s="217">
        <f>SUM(Q184:Q186)</f>
        <v>6600</v>
      </c>
      <c r="R183" s="217">
        <v>0</v>
      </c>
      <c r="S183" s="217">
        <f>SUM(P183:R183)</f>
        <v>6600</v>
      </c>
      <c r="T183" s="217"/>
      <c r="U183" s="217"/>
      <c r="V183" s="217"/>
      <c r="W183" s="217"/>
      <c r="X183" s="217"/>
    </row>
    <row r="184" spans="1:24" s="218" customFormat="1">
      <c r="A184" s="219"/>
      <c r="B184" s="220" t="s">
        <v>39</v>
      </c>
      <c r="C184" s="221" t="s">
        <v>253</v>
      </c>
      <c r="D184" s="213"/>
      <c r="E184" s="214"/>
      <c r="F184" s="217">
        <f>25*40*2</f>
        <v>2000</v>
      </c>
      <c r="G184" s="216"/>
      <c r="H184" s="216"/>
      <c r="I184" s="213"/>
      <c r="J184" s="213"/>
      <c r="K184" s="213"/>
      <c r="L184" s="217"/>
      <c r="M184" s="217"/>
      <c r="N184" s="217"/>
      <c r="O184" s="217"/>
      <c r="P184" s="217"/>
      <c r="Q184" s="217">
        <f>25*30*2</f>
        <v>1500</v>
      </c>
      <c r="R184" s="217"/>
      <c r="S184" s="217"/>
      <c r="T184" s="217"/>
      <c r="U184" s="217"/>
      <c r="V184" s="217"/>
      <c r="W184" s="217"/>
      <c r="X184" s="217"/>
    </row>
    <row r="185" spans="1:24" s="218" customFormat="1">
      <c r="A185" s="219"/>
      <c r="B185" s="220" t="s">
        <v>34</v>
      </c>
      <c r="C185" s="221" t="s">
        <v>254</v>
      </c>
      <c r="D185" s="213"/>
      <c r="E185" s="214"/>
      <c r="F185" s="217">
        <f>80*40</f>
        <v>3200</v>
      </c>
      <c r="G185" s="216"/>
      <c r="H185" s="216"/>
      <c r="I185" s="213"/>
      <c r="J185" s="213"/>
      <c r="K185" s="213"/>
      <c r="L185" s="217"/>
      <c r="M185" s="217"/>
      <c r="N185" s="217"/>
      <c r="O185" s="217"/>
      <c r="P185" s="217"/>
      <c r="Q185" s="217">
        <f>50*30</f>
        <v>1500</v>
      </c>
      <c r="R185" s="217"/>
      <c r="S185" s="217"/>
      <c r="T185" s="217"/>
      <c r="U185" s="217"/>
      <c r="V185" s="217"/>
      <c r="W185" s="217"/>
      <c r="X185" s="217"/>
    </row>
    <row r="186" spans="1:24" s="218" customFormat="1">
      <c r="A186" s="222"/>
      <c r="B186" s="223" t="s">
        <v>34</v>
      </c>
      <c r="C186" s="221" t="s">
        <v>255</v>
      </c>
      <c r="D186" s="213"/>
      <c r="E186" s="214"/>
      <c r="F186" s="217">
        <f>300*6</f>
        <v>1800</v>
      </c>
      <c r="G186" s="216"/>
      <c r="H186" s="216"/>
      <c r="I186" s="213"/>
      <c r="J186" s="213"/>
      <c r="K186" s="213"/>
      <c r="L186" s="217"/>
      <c r="M186" s="217"/>
      <c r="N186" s="217"/>
      <c r="O186" s="217"/>
      <c r="P186" s="217"/>
      <c r="Q186" s="217">
        <f>600*6</f>
        <v>3600</v>
      </c>
      <c r="R186" s="217"/>
      <c r="S186" s="217"/>
      <c r="T186" s="217"/>
      <c r="U186" s="217"/>
      <c r="V186" s="217"/>
      <c r="W186" s="217"/>
      <c r="X186" s="217"/>
    </row>
    <row r="187" spans="1:24" s="218" customFormat="1" ht="63">
      <c r="A187" s="211" t="s">
        <v>256</v>
      </c>
      <c r="B187" s="212" t="s">
        <v>41</v>
      </c>
      <c r="C187" s="213" t="s">
        <v>257</v>
      </c>
      <c r="D187" s="213"/>
      <c r="E187" s="214"/>
      <c r="F187" s="215" t="s">
        <v>34</v>
      </c>
      <c r="G187" s="216"/>
      <c r="H187" s="216"/>
      <c r="I187" s="213"/>
      <c r="J187" s="213"/>
      <c r="K187" s="213"/>
      <c r="L187" s="217"/>
      <c r="M187" s="74">
        <f>N187+O187+S187+T187+W187+X187</f>
        <v>8200</v>
      </c>
      <c r="N187" s="217">
        <v>0</v>
      </c>
      <c r="O187" s="217">
        <v>0</v>
      </c>
      <c r="P187" s="217">
        <v>0</v>
      </c>
      <c r="Q187" s="217">
        <f>SUM(Q188:Q191)</f>
        <v>8200</v>
      </c>
      <c r="R187" s="217">
        <v>0</v>
      </c>
      <c r="S187" s="217">
        <f>SUM(P187:R187)</f>
        <v>8200</v>
      </c>
      <c r="T187" s="217"/>
      <c r="U187" s="217"/>
      <c r="V187" s="217"/>
      <c r="W187" s="217"/>
      <c r="X187" s="217"/>
    </row>
    <row r="188" spans="1:24" s="218" customFormat="1" ht="37.5">
      <c r="A188" s="219"/>
      <c r="B188" s="220" t="s">
        <v>34</v>
      </c>
      <c r="C188" s="221" t="s">
        <v>258</v>
      </c>
      <c r="D188" s="213"/>
      <c r="E188" s="214"/>
      <c r="F188" s="217">
        <f>25*70*2</f>
        <v>3500</v>
      </c>
      <c r="G188" s="216"/>
      <c r="H188" s="216"/>
      <c r="I188" s="213"/>
      <c r="J188" s="213"/>
      <c r="K188" s="213"/>
      <c r="L188" s="217"/>
      <c r="M188" s="217"/>
      <c r="N188" s="217"/>
      <c r="O188" s="217"/>
      <c r="P188" s="217"/>
      <c r="Q188" s="217">
        <f>25*20*4</f>
        <v>2000</v>
      </c>
      <c r="R188" s="217"/>
      <c r="S188" s="217"/>
      <c r="T188" s="217"/>
      <c r="U188" s="217"/>
      <c r="V188" s="217"/>
      <c r="W188" s="217"/>
      <c r="X188" s="217"/>
    </row>
    <row r="189" spans="1:24" s="218" customFormat="1">
      <c r="A189" s="219"/>
      <c r="B189" s="220" t="s">
        <v>34</v>
      </c>
      <c r="C189" s="221" t="s">
        <v>259</v>
      </c>
      <c r="D189" s="213"/>
      <c r="E189" s="214"/>
      <c r="F189" s="217">
        <f>50*70</f>
        <v>3500</v>
      </c>
      <c r="G189" s="216"/>
      <c r="H189" s="216"/>
      <c r="I189" s="213"/>
      <c r="J189" s="213"/>
      <c r="K189" s="213"/>
      <c r="L189" s="217"/>
      <c r="M189" s="217"/>
      <c r="N189" s="217"/>
      <c r="O189" s="217"/>
      <c r="P189" s="217"/>
      <c r="Q189" s="217">
        <f>50*20*2</f>
        <v>2000</v>
      </c>
      <c r="R189" s="217"/>
      <c r="S189" s="217"/>
      <c r="T189" s="217"/>
      <c r="U189" s="217"/>
      <c r="V189" s="217"/>
      <c r="W189" s="217"/>
      <c r="X189" s="217"/>
    </row>
    <row r="190" spans="1:24" s="218" customFormat="1">
      <c r="A190" s="219"/>
      <c r="B190" s="220" t="s">
        <v>34</v>
      </c>
      <c r="C190" s="221" t="s">
        <v>260</v>
      </c>
      <c r="D190" s="213"/>
      <c r="E190" s="214"/>
      <c r="F190" s="217">
        <f>25*70*2</f>
        <v>3500</v>
      </c>
      <c r="G190" s="216"/>
      <c r="H190" s="216"/>
      <c r="I190" s="213"/>
      <c r="J190" s="213"/>
      <c r="K190" s="213"/>
      <c r="L190" s="217"/>
      <c r="M190" s="217"/>
      <c r="N190" s="217"/>
      <c r="O190" s="217"/>
      <c r="P190" s="217"/>
      <c r="Q190" s="217">
        <f>25*70*1</f>
        <v>1750</v>
      </c>
      <c r="R190" s="217"/>
      <c r="S190" s="217"/>
      <c r="T190" s="217"/>
      <c r="U190" s="217"/>
      <c r="V190" s="217"/>
      <c r="W190" s="217"/>
      <c r="X190" s="217"/>
    </row>
    <row r="191" spans="1:24" s="218" customFormat="1">
      <c r="A191" s="222"/>
      <c r="B191" s="223" t="s">
        <v>34</v>
      </c>
      <c r="C191" s="221" t="s">
        <v>261</v>
      </c>
      <c r="D191" s="213"/>
      <c r="E191" s="214"/>
      <c r="F191" s="217">
        <f>50*70</f>
        <v>3500</v>
      </c>
      <c r="G191" s="216"/>
      <c r="H191" s="216"/>
      <c r="I191" s="213"/>
      <c r="J191" s="213"/>
      <c r="K191" s="213"/>
      <c r="L191" s="217"/>
      <c r="M191" s="217"/>
      <c r="N191" s="217"/>
      <c r="O191" s="217"/>
      <c r="P191" s="217"/>
      <c r="Q191" s="217">
        <f>35*70</f>
        <v>2450</v>
      </c>
      <c r="R191" s="217"/>
      <c r="S191" s="217"/>
      <c r="T191" s="217"/>
      <c r="U191" s="217"/>
      <c r="V191" s="217"/>
      <c r="W191" s="217"/>
      <c r="X191" s="217"/>
    </row>
    <row r="192" spans="1:24" s="218" customFormat="1" ht="54">
      <c r="A192" s="211" t="s">
        <v>262</v>
      </c>
      <c r="B192" s="317" t="s">
        <v>41</v>
      </c>
      <c r="C192" s="213" t="s">
        <v>263</v>
      </c>
      <c r="D192" s="213"/>
      <c r="E192" s="214"/>
      <c r="F192" s="213"/>
      <c r="G192" s="216"/>
      <c r="H192" s="216"/>
      <c r="I192" s="213"/>
      <c r="J192" s="213"/>
      <c r="K192" s="213"/>
      <c r="L192" s="217"/>
      <c r="M192" s="74">
        <f>N192+O192+S192+T192+W192+X192</f>
        <v>8000</v>
      </c>
      <c r="N192" s="217">
        <v>0</v>
      </c>
      <c r="O192" s="217">
        <v>0</v>
      </c>
      <c r="P192" s="217">
        <v>0</v>
      </c>
      <c r="Q192" s="217">
        <f>SUM(Q193:Q194)</f>
        <v>8000</v>
      </c>
      <c r="R192" s="217">
        <v>0</v>
      </c>
      <c r="S192" s="217">
        <f>SUM(P192:R192)</f>
        <v>8000</v>
      </c>
      <c r="T192" s="217"/>
      <c r="U192" s="217"/>
      <c r="V192" s="217"/>
      <c r="W192" s="217"/>
      <c r="X192" s="217"/>
    </row>
    <row r="193" spans="1:24" s="218" customFormat="1">
      <c r="A193" s="219"/>
      <c r="B193" s="220" t="s">
        <v>34</v>
      </c>
      <c r="C193" s="221" t="s">
        <v>264</v>
      </c>
      <c r="D193" s="213"/>
      <c r="E193" s="214"/>
      <c r="F193" s="217">
        <f>25*20*6</f>
        <v>3000</v>
      </c>
      <c r="G193" s="216"/>
      <c r="H193" s="216"/>
      <c r="I193" s="213"/>
      <c r="J193" s="213"/>
      <c r="K193" s="213"/>
      <c r="L193" s="217"/>
      <c r="M193" s="217"/>
      <c r="N193" s="217"/>
      <c r="O193" s="217"/>
      <c r="P193" s="217"/>
      <c r="Q193" s="217">
        <f>25*20*8</f>
        <v>4000</v>
      </c>
      <c r="R193" s="217"/>
      <c r="S193" s="217"/>
      <c r="T193" s="217"/>
      <c r="U193" s="217"/>
      <c r="V193" s="217"/>
      <c r="W193" s="217"/>
      <c r="X193" s="217"/>
    </row>
    <row r="194" spans="1:24" s="218" customFormat="1">
      <c r="A194" s="222"/>
      <c r="B194" s="223" t="s">
        <v>34</v>
      </c>
      <c r="C194" s="221" t="s">
        <v>265</v>
      </c>
      <c r="D194" s="213"/>
      <c r="E194" s="214"/>
      <c r="F194" s="217">
        <f>50*20*3</f>
        <v>3000</v>
      </c>
      <c r="G194" s="216"/>
      <c r="H194" s="216"/>
      <c r="I194" s="213"/>
      <c r="J194" s="213"/>
      <c r="K194" s="213"/>
      <c r="L194" s="217"/>
      <c r="M194" s="217"/>
      <c r="N194" s="217"/>
      <c r="O194" s="217"/>
      <c r="P194" s="217"/>
      <c r="Q194" s="217">
        <f>50*20*4</f>
        <v>4000</v>
      </c>
      <c r="R194" s="217"/>
      <c r="S194" s="217"/>
      <c r="T194" s="217"/>
      <c r="U194" s="217"/>
      <c r="V194" s="217"/>
      <c r="W194" s="217"/>
      <c r="X194" s="217"/>
    </row>
    <row r="195" spans="1:24" s="218" customFormat="1" ht="63">
      <c r="A195" s="211" t="s">
        <v>266</v>
      </c>
      <c r="B195" s="212" t="s">
        <v>41</v>
      </c>
      <c r="C195" s="213" t="s">
        <v>267</v>
      </c>
      <c r="D195" s="213"/>
      <c r="E195" s="214"/>
      <c r="F195" s="213"/>
      <c r="G195" s="216"/>
      <c r="H195" s="216"/>
      <c r="I195" s="213"/>
      <c r="J195" s="213"/>
      <c r="K195" s="213"/>
      <c r="L195" s="217"/>
      <c r="M195" s="74">
        <f>N195+O195+S195+T195+W195+X195</f>
        <v>4100</v>
      </c>
      <c r="N195" s="217">
        <v>0</v>
      </c>
      <c r="O195" s="217">
        <v>0</v>
      </c>
      <c r="P195" s="217">
        <v>0</v>
      </c>
      <c r="Q195" s="217">
        <f>SUM(Q196:Q197)</f>
        <v>4100</v>
      </c>
      <c r="R195" s="217">
        <v>0</v>
      </c>
      <c r="S195" s="217">
        <f>SUM(P195:R195)</f>
        <v>4100</v>
      </c>
      <c r="T195" s="217">
        <v>0</v>
      </c>
      <c r="U195" s="217">
        <v>0</v>
      </c>
      <c r="V195" s="217">
        <v>0</v>
      </c>
      <c r="W195" s="217">
        <f>SUM(U195:V195)</f>
        <v>0</v>
      </c>
      <c r="X195" s="217">
        <v>0</v>
      </c>
    </row>
    <row r="196" spans="1:24" s="218" customFormat="1">
      <c r="A196" s="219"/>
      <c r="B196" s="220" t="s">
        <v>34</v>
      </c>
      <c r="C196" s="221" t="s">
        <v>268</v>
      </c>
      <c r="D196" s="213"/>
      <c r="E196" s="214"/>
      <c r="F196" s="217">
        <f>25*40*6</f>
        <v>6000</v>
      </c>
      <c r="G196" s="216"/>
      <c r="H196" s="216"/>
      <c r="I196" s="213"/>
      <c r="J196" s="213"/>
      <c r="K196" s="213"/>
      <c r="L196" s="217"/>
      <c r="M196" s="217"/>
      <c r="N196" s="217"/>
      <c r="O196" s="217"/>
      <c r="P196" s="217"/>
      <c r="Q196" s="217">
        <f>25*20*4</f>
        <v>2000</v>
      </c>
      <c r="R196" s="217"/>
      <c r="S196" s="217"/>
      <c r="T196" s="217"/>
      <c r="U196" s="217"/>
      <c r="V196" s="217"/>
      <c r="W196" s="217"/>
      <c r="X196" s="217"/>
    </row>
    <row r="197" spans="1:24" s="218" customFormat="1">
      <c r="A197" s="222"/>
      <c r="B197" s="223" t="s">
        <v>34</v>
      </c>
      <c r="C197" s="221" t="s">
        <v>269</v>
      </c>
      <c r="D197" s="213"/>
      <c r="E197" s="214"/>
      <c r="F197" s="217">
        <f>50*40*1</f>
        <v>2000</v>
      </c>
      <c r="G197" s="216"/>
      <c r="H197" s="216"/>
      <c r="I197" s="213"/>
      <c r="J197" s="213"/>
      <c r="K197" s="213"/>
      <c r="L197" s="217"/>
      <c r="M197" s="217"/>
      <c r="N197" s="217"/>
      <c r="O197" s="217"/>
      <c r="P197" s="217"/>
      <c r="Q197" s="217">
        <f>35*20*3</f>
        <v>2100</v>
      </c>
      <c r="R197" s="217"/>
      <c r="S197" s="217"/>
      <c r="T197" s="217"/>
      <c r="U197" s="217"/>
      <c r="V197" s="217"/>
      <c r="W197" s="217"/>
      <c r="X197" s="217"/>
    </row>
    <row r="198" spans="1:24" s="218" customFormat="1" ht="36">
      <c r="A198" s="211" t="s">
        <v>270</v>
      </c>
      <c r="B198" s="317" t="s">
        <v>128</v>
      </c>
      <c r="C198" s="213" t="s">
        <v>271</v>
      </c>
      <c r="D198" s="213"/>
      <c r="E198" s="214"/>
      <c r="F198" s="213"/>
      <c r="G198" s="216"/>
      <c r="H198" s="216"/>
      <c r="I198" s="213"/>
      <c r="J198" s="213"/>
      <c r="K198" s="213"/>
      <c r="L198" s="217"/>
      <c r="M198" s="74">
        <f>N198+O198+S198+T198+W198+X198</f>
        <v>7200</v>
      </c>
      <c r="N198" s="217">
        <v>0</v>
      </c>
      <c r="O198" s="217">
        <v>0</v>
      </c>
      <c r="P198" s="217">
        <v>0</v>
      </c>
      <c r="Q198" s="217">
        <f>SUM(Q199:Q200)</f>
        <v>7200</v>
      </c>
      <c r="R198" s="217">
        <v>0</v>
      </c>
      <c r="S198" s="217">
        <f>SUM(P198:R198)</f>
        <v>7200</v>
      </c>
      <c r="T198" s="217">
        <v>0</v>
      </c>
      <c r="U198" s="217">
        <v>0</v>
      </c>
      <c r="V198" s="217">
        <v>0</v>
      </c>
      <c r="W198" s="217">
        <f>SUM(U198:V198)</f>
        <v>0</v>
      </c>
      <c r="X198" s="217">
        <v>0</v>
      </c>
    </row>
    <row r="199" spans="1:24" s="218" customFormat="1">
      <c r="A199" s="219"/>
      <c r="B199" s="220" t="s">
        <v>34</v>
      </c>
      <c r="C199" s="221" t="s">
        <v>272</v>
      </c>
      <c r="D199" s="213"/>
      <c r="E199" s="214"/>
      <c r="F199" s="217">
        <f>25*40*4</f>
        <v>4000</v>
      </c>
      <c r="G199" s="216"/>
      <c r="H199" s="216"/>
      <c r="I199" s="213"/>
      <c r="J199" s="213"/>
      <c r="K199" s="213"/>
      <c r="L199" s="217"/>
      <c r="M199" s="217"/>
      <c r="N199" s="217"/>
      <c r="O199" s="217"/>
      <c r="P199" s="217"/>
      <c r="Q199" s="217">
        <f>25*40*4</f>
        <v>4000</v>
      </c>
      <c r="R199" s="217"/>
      <c r="S199" s="217"/>
      <c r="T199" s="217"/>
      <c r="U199" s="217"/>
      <c r="V199" s="217"/>
      <c r="W199" s="217"/>
      <c r="X199" s="217"/>
    </row>
    <row r="200" spans="1:24" s="218" customFormat="1">
      <c r="A200" s="222"/>
      <c r="B200" s="223" t="s">
        <v>34</v>
      </c>
      <c r="C200" s="221" t="s">
        <v>273</v>
      </c>
      <c r="D200" s="213"/>
      <c r="E200" s="214"/>
      <c r="F200" s="217">
        <f>40*40*2</f>
        <v>3200</v>
      </c>
      <c r="G200" s="216"/>
      <c r="H200" s="216"/>
      <c r="I200" s="213"/>
      <c r="J200" s="213"/>
      <c r="K200" s="213"/>
      <c r="L200" s="217"/>
      <c r="M200" s="217"/>
      <c r="N200" s="217"/>
      <c r="O200" s="217"/>
      <c r="P200" s="217"/>
      <c r="Q200" s="217">
        <f>40*40*2</f>
        <v>3200</v>
      </c>
      <c r="R200" s="217"/>
      <c r="S200" s="217"/>
      <c r="T200" s="217"/>
      <c r="U200" s="217"/>
      <c r="V200" s="217"/>
      <c r="W200" s="217"/>
      <c r="X200" s="217"/>
    </row>
    <row r="201" spans="1:24" s="218" customFormat="1" ht="54">
      <c r="A201" s="211" t="s">
        <v>274</v>
      </c>
      <c r="B201" s="317" t="s">
        <v>41</v>
      </c>
      <c r="C201" s="213" t="s">
        <v>275</v>
      </c>
      <c r="D201" s="213"/>
      <c r="E201" s="214"/>
      <c r="F201" s="213"/>
      <c r="G201" s="216"/>
      <c r="H201" s="216"/>
      <c r="I201" s="213"/>
      <c r="J201" s="213"/>
      <c r="K201" s="213"/>
      <c r="L201" s="217"/>
      <c r="M201" s="74">
        <f>N201+O201+S201+T201+W201+X201</f>
        <v>1400000</v>
      </c>
      <c r="N201" s="217">
        <v>0</v>
      </c>
      <c r="O201" s="217">
        <v>0</v>
      </c>
      <c r="P201" s="217">
        <f>P202</f>
        <v>1400000</v>
      </c>
      <c r="Q201" s="217">
        <v>0</v>
      </c>
      <c r="R201" s="217">
        <v>0</v>
      </c>
      <c r="S201" s="217">
        <f>SUM(P201:R201)</f>
        <v>1400000</v>
      </c>
      <c r="T201" s="217">
        <v>0</v>
      </c>
      <c r="U201" s="217">
        <v>0</v>
      </c>
      <c r="V201" s="217">
        <v>0</v>
      </c>
      <c r="W201" s="217">
        <f>SUM(U201:V201)</f>
        <v>0</v>
      </c>
      <c r="X201" s="217">
        <v>0</v>
      </c>
    </row>
    <row r="202" spans="1:24" s="218" customFormat="1">
      <c r="A202" s="222"/>
      <c r="B202" s="223" t="s">
        <v>34</v>
      </c>
      <c r="C202" s="213" t="s">
        <v>276</v>
      </c>
      <c r="D202" s="213"/>
      <c r="E202" s="214"/>
      <c r="F202" s="213"/>
      <c r="G202" s="216"/>
      <c r="H202" s="216"/>
      <c r="I202" s="213"/>
      <c r="J202" s="213"/>
      <c r="K202" s="213"/>
      <c r="L202" s="217"/>
      <c r="M202" s="217"/>
      <c r="N202" s="217"/>
      <c r="O202" s="217"/>
      <c r="P202" s="217">
        <v>1400000</v>
      </c>
      <c r="Q202" s="217" t="s">
        <v>34</v>
      </c>
      <c r="R202" s="217"/>
      <c r="S202" s="217"/>
      <c r="T202" s="217"/>
      <c r="U202" s="217"/>
      <c r="V202" s="217"/>
      <c r="W202" s="217"/>
      <c r="X202" s="217"/>
    </row>
    <row r="203" spans="1:24" s="218" customFormat="1" ht="54">
      <c r="A203" s="211" t="s">
        <v>277</v>
      </c>
      <c r="B203" s="317" t="s">
        <v>41</v>
      </c>
      <c r="C203" s="213" t="s">
        <v>278</v>
      </c>
      <c r="D203" s="213"/>
      <c r="E203" s="214"/>
      <c r="F203" s="217" t="s">
        <v>34</v>
      </c>
      <c r="G203" s="216"/>
      <c r="H203" s="216"/>
      <c r="I203" s="213"/>
      <c r="J203" s="213"/>
      <c r="K203" s="213"/>
      <c r="L203" s="217"/>
      <c r="M203" s="74">
        <f>N203+O203+S203+T203+W203+X203</f>
        <v>45000</v>
      </c>
      <c r="N203" s="217">
        <v>0</v>
      </c>
      <c r="O203" s="217">
        <v>0</v>
      </c>
      <c r="P203" s="217">
        <v>0</v>
      </c>
      <c r="Q203" s="217">
        <f>SUM(Q204:Q210)</f>
        <v>45000</v>
      </c>
      <c r="R203" s="217">
        <v>0</v>
      </c>
      <c r="S203" s="217">
        <f>SUM(P203:R203)</f>
        <v>45000</v>
      </c>
      <c r="T203" s="217">
        <v>0</v>
      </c>
      <c r="U203" s="217">
        <v>0</v>
      </c>
      <c r="V203" s="217">
        <v>0</v>
      </c>
      <c r="W203" s="217">
        <f>SUM(U203:V203)</f>
        <v>0</v>
      </c>
      <c r="X203" s="217">
        <v>0</v>
      </c>
    </row>
    <row r="204" spans="1:24" s="218" customFormat="1">
      <c r="A204" s="219"/>
      <c r="B204" s="220" t="s">
        <v>34</v>
      </c>
      <c r="C204" s="221" t="s">
        <v>279</v>
      </c>
      <c r="D204" s="213"/>
      <c r="E204" s="214"/>
      <c r="F204" s="217">
        <f>25*100*2</f>
        <v>5000</v>
      </c>
      <c r="G204" s="216"/>
      <c r="H204" s="216"/>
      <c r="I204" s="213"/>
      <c r="J204" s="213"/>
      <c r="K204" s="213"/>
      <c r="L204" s="217"/>
      <c r="M204" s="217"/>
      <c r="N204" s="217"/>
      <c r="O204" s="217"/>
      <c r="P204" s="217"/>
      <c r="Q204" s="217">
        <v>0</v>
      </c>
      <c r="R204" s="217"/>
      <c r="S204" s="217"/>
      <c r="T204" s="217"/>
      <c r="U204" s="217"/>
      <c r="V204" s="217"/>
      <c r="W204" s="217"/>
      <c r="X204" s="217"/>
    </row>
    <row r="205" spans="1:24" s="218" customFormat="1">
      <c r="A205" s="219"/>
      <c r="B205" s="220" t="s">
        <v>34</v>
      </c>
      <c r="C205" s="224" t="s">
        <v>280</v>
      </c>
      <c r="D205" s="213"/>
      <c r="E205" s="214"/>
      <c r="F205" s="217">
        <f>120*100</f>
        <v>12000</v>
      </c>
      <c r="G205" s="216"/>
      <c r="H205" s="216"/>
      <c r="I205" s="213"/>
      <c r="J205" s="213"/>
      <c r="K205" s="213"/>
      <c r="L205" s="217"/>
      <c r="M205" s="217"/>
      <c r="N205" s="217"/>
      <c r="O205" s="217"/>
      <c r="P205" s="217"/>
      <c r="Q205" s="217">
        <v>0</v>
      </c>
      <c r="R205" s="217"/>
      <c r="S205" s="217"/>
      <c r="T205" s="217"/>
      <c r="U205" s="217"/>
      <c r="V205" s="217"/>
      <c r="W205" s="217"/>
      <c r="X205" s="217"/>
    </row>
    <row r="206" spans="1:24" s="218" customFormat="1">
      <c r="A206" s="219"/>
      <c r="B206" s="220" t="s">
        <v>34</v>
      </c>
      <c r="C206" s="221" t="s">
        <v>281</v>
      </c>
      <c r="D206" s="213"/>
      <c r="E206" s="214"/>
      <c r="F206" s="217">
        <f>250*100</f>
        <v>25000</v>
      </c>
      <c r="G206" s="216"/>
      <c r="H206" s="216"/>
      <c r="I206" s="213"/>
      <c r="J206" s="213"/>
      <c r="K206" s="213"/>
      <c r="L206" s="217"/>
      <c r="M206" s="217"/>
      <c r="N206" s="217"/>
      <c r="O206" s="217"/>
      <c r="P206" s="217"/>
      <c r="Q206" s="217">
        <f>300*100</f>
        <v>30000</v>
      </c>
      <c r="R206" s="217"/>
      <c r="S206" s="217"/>
      <c r="T206" s="217"/>
      <c r="U206" s="217"/>
      <c r="V206" s="217"/>
      <c r="W206" s="217"/>
      <c r="X206" s="217"/>
    </row>
    <row r="207" spans="1:24" s="218" customFormat="1">
      <c r="A207" s="219"/>
      <c r="B207" s="220" t="s">
        <v>34</v>
      </c>
      <c r="C207" s="221" t="s">
        <v>282</v>
      </c>
      <c r="D207" s="213"/>
      <c r="E207" s="214"/>
      <c r="F207" s="217">
        <v>3000</v>
      </c>
      <c r="G207" s="216"/>
      <c r="H207" s="216"/>
      <c r="I207" s="213"/>
      <c r="J207" s="213"/>
      <c r="K207" s="213"/>
      <c r="L207" s="217"/>
      <c r="M207" s="217"/>
      <c r="N207" s="217"/>
      <c r="O207" s="217"/>
      <c r="P207" s="217"/>
      <c r="Q207" s="217">
        <v>0</v>
      </c>
      <c r="R207" s="217"/>
      <c r="S207" s="217"/>
      <c r="T207" s="217"/>
      <c r="U207" s="217"/>
      <c r="V207" s="217"/>
      <c r="W207" s="217"/>
      <c r="X207" s="217"/>
    </row>
    <row r="208" spans="1:24" s="218" customFormat="1">
      <c r="A208" s="219"/>
      <c r="B208" s="220" t="s">
        <v>34</v>
      </c>
      <c r="C208" s="221" t="s">
        <v>283</v>
      </c>
      <c r="D208" s="213"/>
      <c r="E208" s="214"/>
      <c r="F208" s="217">
        <v>8000</v>
      </c>
      <c r="G208" s="216"/>
      <c r="H208" s="216"/>
      <c r="I208" s="213"/>
      <c r="J208" s="213"/>
      <c r="K208" s="213"/>
      <c r="L208" s="217"/>
      <c r="M208" s="217"/>
      <c r="N208" s="217"/>
      <c r="O208" s="217"/>
      <c r="P208" s="217"/>
      <c r="Q208" s="217">
        <v>5000</v>
      </c>
      <c r="R208" s="217"/>
      <c r="S208" s="217"/>
      <c r="T208" s="217"/>
      <c r="U208" s="217"/>
      <c r="V208" s="217"/>
      <c r="W208" s="217"/>
      <c r="X208" s="217"/>
    </row>
    <row r="209" spans="1:24" s="218" customFormat="1">
      <c r="A209" s="219"/>
      <c r="B209" s="220" t="s">
        <v>34</v>
      </c>
      <c r="C209" s="221" t="s">
        <v>284</v>
      </c>
      <c r="D209" s="213"/>
      <c r="E209" s="214"/>
      <c r="F209" s="217">
        <f>350*100</f>
        <v>35000</v>
      </c>
      <c r="G209" s="216"/>
      <c r="H209" s="216"/>
      <c r="I209" s="213"/>
      <c r="J209" s="213"/>
      <c r="K209" s="213"/>
      <c r="L209" s="217"/>
      <c r="M209" s="217"/>
      <c r="N209" s="217"/>
      <c r="O209" s="217"/>
      <c r="P209" s="217"/>
      <c r="Q209" s="217">
        <v>0</v>
      </c>
      <c r="R209" s="217"/>
      <c r="S209" s="217"/>
      <c r="T209" s="217"/>
      <c r="U209" s="217"/>
      <c r="V209" s="217"/>
      <c r="W209" s="217"/>
      <c r="X209" s="217"/>
    </row>
    <row r="210" spans="1:24" s="218" customFormat="1">
      <c r="A210" s="222"/>
      <c r="B210" s="223" t="s">
        <v>34</v>
      </c>
      <c r="C210" s="221" t="s">
        <v>285</v>
      </c>
      <c r="D210" s="213"/>
      <c r="E210" s="214"/>
      <c r="F210" s="217">
        <f>30*400</f>
        <v>12000</v>
      </c>
      <c r="G210" s="216"/>
      <c r="H210" s="216"/>
      <c r="I210" s="213"/>
      <c r="J210" s="213"/>
      <c r="K210" s="213"/>
      <c r="L210" s="217"/>
      <c r="M210" s="217"/>
      <c r="N210" s="217"/>
      <c r="O210" s="217"/>
      <c r="P210" s="217"/>
      <c r="Q210" s="217">
        <v>10000</v>
      </c>
      <c r="R210" s="217"/>
      <c r="S210" s="217"/>
      <c r="T210" s="217"/>
      <c r="U210" s="217"/>
      <c r="V210" s="217"/>
      <c r="W210" s="217"/>
      <c r="X210" s="217"/>
    </row>
    <row r="211" spans="1:24" s="218" customFormat="1" ht="63">
      <c r="A211" s="211" t="s">
        <v>286</v>
      </c>
      <c r="B211" s="318" t="s">
        <v>41</v>
      </c>
      <c r="C211" s="213" t="s">
        <v>287</v>
      </c>
      <c r="D211" s="213"/>
      <c r="E211" s="214"/>
      <c r="F211" s="215" t="s">
        <v>34</v>
      </c>
      <c r="G211" s="216"/>
      <c r="H211" s="216"/>
      <c r="I211" s="213"/>
      <c r="J211" s="213"/>
      <c r="K211" s="213"/>
      <c r="L211" s="217"/>
      <c r="M211" s="171">
        <v>0</v>
      </c>
      <c r="N211" s="217">
        <v>0</v>
      </c>
      <c r="O211" s="217">
        <v>0</v>
      </c>
      <c r="P211" s="217">
        <v>0</v>
      </c>
      <c r="Q211" s="217">
        <v>0</v>
      </c>
      <c r="R211" s="217">
        <v>0</v>
      </c>
      <c r="S211" s="217">
        <f>SUM(P211:R211)</f>
        <v>0</v>
      </c>
      <c r="T211" s="217">
        <v>0</v>
      </c>
      <c r="U211" s="217">
        <v>0</v>
      </c>
      <c r="V211" s="217">
        <v>0</v>
      </c>
      <c r="W211" s="217">
        <f>SUM(U211:V211)</f>
        <v>0</v>
      </c>
      <c r="X211" s="217">
        <v>0</v>
      </c>
    </row>
    <row r="212" spans="1:24" s="218" customFormat="1" ht="36">
      <c r="A212" s="211"/>
      <c r="B212" s="318" t="s">
        <v>128</v>
      </c>
      <c r="C212" s="221" t="s">
        <v>288</v>
      </c>
      <c r="D212" s="213"/>
      <c r="E212" s="214"/>
      <c r="F212" s="217">
        <f>1200*12</f>
        <v>14400</v>
      </c>
      <c r="G212" s="216"/>
      <c r="H212" s="216"/>
      <c r="I212" s="213"/>
      <c r="J212" s="213"/>
      <c r="K212" s="213"/>
      <c r="L212" s="217"/>
      <c r="M212" s="217"/>
      <c r="N212" s="217"/>
      <c r="O212" s="217"/>
      <c r="P212" s="217"/>
      <c r="Q212" s="217">
        <f>1200*6*1</f>
        <v>7200</v>
      </c>
      <c r="R212" s="217"/>
      <c r="S212" s="217"/>
      <c r="T212" s="217"/>
      <c r="U212" s="217"/>
      <c r="V212" s="217"/>
      <c r="W212" s="217"/>
      <c r="X212" s="217"/>
    </row>
    <row r="213" spans="1:24" s="218" customFormat="1" ht="36">
      <c r="A213" s="211"/>
      <c r="B213" s="318" t="s">
        <v>128</v>
      </c>
      <c r="C213" s="221" t="s">
        <v>289</v>
      </c>
      <c r="D213" s="213"/>
      <c r="E213" s="214"/>
      <c r="F213" s="217">
        <f>50*70*4</f>
        <v>14000</v>
      </c>
      <c r="G213" s="216"/>
      <c r="H213" s="216"/>
      <c r="I213" s="213"/>
      <c r="J213" s="213"/>
      <c r="K213" s="213"/>
      <c r="L213" s="217"/>
      <c r="M213" s="217"/>
      <c r="N213" s="217"/>
      <c r="O213" s="217"/>
      <c r="P213" s="217"/>
      <c r="Q213" s="217">
        <f>50*60*4</f>
        <v>12000</v>
      </c>
      <c r="R213" s="217"/>
      <c r="S213" s="217"/>
      <c r="T213" s="217"/>
      <c r="U213" s="217"/>
      <c r="V213" s="217"/>
      <c r="W213" s="217"/>
      <c r="X213" s="217"/>
    </row>
    <row r="214" spans="1:24" s="218" customFormat="1" ht="36">
      <c r="A214" s="211"/>
      <c r="B214" s="318" t="s">
        <v>128</v>
      </c>
      <c r="C214" s="221" t="s">
        <v>290</v>
      </c>
      <c r="D214" s="213"/>
      <c r="E214" s="214"/>
      <c r="F214" s="217">
        <f>250*70*3</f>
        <v>52500</v>
      </c>
      <c r="G214" s="216"/>
      <c r="H214" s="216"/>
      <c r="I214" s="213"/>
      <c r="J214" s="213"/>
      <c r="K214" s="213"/>
      <c r="L214" s="217"/>
      <c r="M214" s="217"/>
      <c r="N214" s="217"/>
      <c r="O214" s="217"/>
      <c r="P214" s="217"/>
      <c r="Q214" s="217">
        <f>150*60*2</f>
        <v>18000</v>
      </c>
      <c r="R214" s="217"/>
      <c r="S214" s="217"/>
      <c r="T214" s="217"/>
      <c r="U214" s="217"/>
      <c r="V214" s="217"/>
      <c r="W214" s="217"/>
      <c r="X214" s="217"/>
    </row>
    <row r="215" spans="1:24" s="218" customFormat="1" ht="36">
      <c r="A215" s="211"/>
      <c r="B215" s="318" t="s">
        <v>128</v>
      </c>
      <c r="C215" s="221" t="s">
        <v>291</v>
      </c>
      <c r="D215" s="213"/>
      <c r="E215" s="214"/>
      <c r="F215" s="217">
        <f>300*70*2</f>
        <v>42000</v>
      </c>
      <c r="G215" s="216"/>
      <c r="H215" s="216"/>
      <c r="I215" s="213"/>
      <c r="J215" s="213"/>
      <c r="K215" s="213"/>
      <c r="L215" s="217"/>
      <c r="M215" s="217"/>
      <c r="N215" s="217"/>
      <c r="O215" s="217"/>
      <c r="P215" s="217"/>
      <c r="Q215" s="217">
        <f>250*60*2</f>
        <v>30000</v>
      </c>
      <c r="R215" s="217"/>
      <c r="S215" s="217"/>
      <c r="T215" s="217"/>
      <c r="U215" s="217"/>
      <c r="V215" s="217"/>
      <c r="W215" s="217"/>
      <c r="X215" s="217"/>
    </row>
    <row r="216" spans="1:24" s="218" customFormat="1" ht="36">
      <c r="A216" s="211"/>
      <c r="B216" s="318" t="s">
        <v>128</v>
      </c>
      <c r="C216" s="224" t="s">
        <v>292</v>
      </c>
      <c r="D216" s="225"/>
      <c r="E216" s="226"/>
      <c r="F216" s="227">
        <v>30000</v>
      </c>
      <c r="G216" s="216"/>
      <c r="H216" s="216"/>
      <c r="I216" s="213"/>
      <c r="J216" s="213"/>
      <c r="K216" s="213"/>
      <c r="L216" s="217"/>
      <c r="M216" s="217"/>
      <c r="N216" s="217"/>
      <c r="O216" s="217"/>
      <c r="P216" s="217"/>
      <c r="Q216" s="217">
        <v>5000</v>
      </c>
      <c r="R216" s="217"/>
      <c r="S216" s="217"/>
      <c r="T216" s="217"/>
      <c r="U216" s="217"/>
      <c r="V216" s="217"/>
      <c r="W216" s="217"/>
      <c r="X216" s="217"/>
    </row>
    <row r="217" spans="1:24" s="218" customFormat="1" ht="36">
      <c r="A217" s="211"/>
      <c r="B217" s="318" t="s">
        <v>128</v>
      </c>
      <c r="C217" s="221" t="s">
        <v>293</v>
      </c>
      <c r="D217" s="213"/>
      <c r="E217" s="214"/>
      <c r="F217" s="228">
        <f>15000*5</f>
        <v>75000</v>
      </c>
      <c r="G217" s="216"/>
      <c r="H217" s="216"/>
      <c r="I217" s="213"/>
      <c r="J217" s="213"/>
      <c r="K217" s="213"/>
      <c r="L217" s="217"/>
      <c r="M217" s="217"/>
      <c r="N217" s="217"/>
      <c r="O217" s="217"/>
      <c r="P217" s="217"/>
      <c r="Q217" s="217">
        <f>15000*4</f>
        <v>60000</v>
      </c>
      <c r="R217" s="217"/>
      <c r="S217" s="217"/>
      <c r="T217" s="217"/>
      <c r="U217" s="217"/>
      <c r="V217" s="217"/>
      <c r="W217" s="217"/>
      <c r="X217" s="217"/>
    </row>
    <row r="218" spans="1:24" s="218" customFormat="1" ht="36">
      <c r="A218" s="211"/>
      <c r="B218" s="318" t="s">
        <v>128</v>
      </c>
      <c r="C218" s="221" t="s">
        <v>294</v>
      </c>
      <c r="D218" s="213"/>
      <c r="E218" s="214"/>
      <c r="F218" s="228">
        <f>1000*70*3</f>
        <v>210000</v>
      </c>
      <c r="G218" s="216"/>
      <c r="H218" s="216"/>
      <c r="I218" s="213"/>
      <c r="J218" s="213"/>
      <c r="K218" s="213"/>
      <c r="L218" s="217"/>
      <c r="M218" s="217"/>
      <c r="N218" s="217"/>
      <c r="O218" s="217"/>
      <c r="P218" s="217"/>
      <c r="Q218" s="217">
        <f>800*60*3</f>
        <v>144000</v>
      </c>
      <c r="R218" s="217"/>
      <c r="S218" s="217"/>
      <c r="T218" s="217"/>
      <c r="U218" s="217"/>
      <c r="V218" s="217"/>
      <c r="W218" s="217"/>
      <c r="X218" s="217"/>
    </row>
    <row r="219" spans="1:24" s="218" customFormat="1" ht="36">
      <c r="A219" s="211"/>
      <c r="B219" s="318" t="s">
        <v>128</v>
      </c>
      <c r="C219" s="221" t="s">
        <v>295</v>
      </c>
      <c r="D219" s="213"/>
      <c r="E219" s="214"/>
      <c r="F219" s="228"/>
      <c r="G219" s="216"/>
      <c r="H219" s="216"/>
      <c r="I219" s="213"/>
      <c r="J219" s="213"/>
      <c r="K219" s="213"/>
      <c r="L219" s="217"/>
      <c r="M219" s="217"/>
      <c r="N219" s="217"/>
      <c r="O219" s="217"/>
      <c r="P219" s="217"/>
      <c r="Q219" s="217">
        <f>10000</f>
        <v>10000</v>
      </c>
      <c r="R219" s="217"/>
      <c r="S219" s="217"/>
      <c r="T219" s="217"/>
      <c r="U219" s="217"/>
      <c r="V219" s="217"/>
      <c r="W219" s="217"/>
      <c r="X219" s="217"/>
    </row>
    <row r="220" spans="1:24" s="218" customFormat="1" ht="36">
      <c r="A220" s="211"/>
      <c r="B220" s="318" t="s">
        <v>128</v>
      </c>
      <c r="C220" s="221" t="s">
        <v>283</v>
      </c>
      <c r="D220" s="213"/>
      <c r="E220" s="214"/>
      <c r="F220" s="217">
        <v>8000</v>
      </c>
      <c r="G220" s="216"/>
      <c r="H220" s="216"/>
      <c r="I220" s="213"/>
      <c r="J220" s="213"/>
      <c r="K220" s="213"/>
      <c r="L220" s="217"/>
      <c r="M220" s="217"/>
      <c r="N220" s="217"/>
      <c r="O220" s="217"/>
      <c r="P220" s="217"/>
      <c r="Q220" s="217">
        <v>0</v>
      </c>
      <c r="R220" s="217"/>
      <c r="S220" s="217"/>
      <c r="T220" s="217"/>
      <c r="U220" s="217"/>
      <c r="V220" s="217"/>
      <c r="W220" s="217"/>
      <c r="X220" s="217"/>
    </row>
    <row r="221" spans="1:24" s="218" customFormat="1" ht="36">
      <c r="A221" s="211"/>
      <c r="B221" s="318" t="s">
        <v>128</v>
      </c>
      <c r="C221" s="221" t="s">
        <v>296</v>
      </c>
      <c r="D221" s="213"/>
      <c r="E221" s="214"/>
      <c r="F221" s="215">
        <f>500000-F212-F213-F214-F215-F216-F217-F218-F220</f>
        <v>54100</v>
      </c>
      <c r="G221" s="216"/>
      <c r="H221" s="216"/>
      <c r="I221" s="213"/>
      <c r="J221" s="213"/>
      <c r="K221" s="213"/>
      <c r="L221" s="217"/>
      <c r="M221" s="217"/>
      <c r="N221" s="217"/>
      <c r="O221" s="217"/>
      <c r="P221" s="217"/>
      <c r="Q221" s="217">
        <v>0</v>
      </c>
      <c r="R221" s="217"/>
      <c r="S221" s="217"/>
      <c r="T221" s="217"/>
      <c r="U221" s="217"/>
      <c r="V221" s="217"/>
      <c r="W221" s="217"/>
      <c r="X221" s="217"/>
    </row>
    <row r="222" spans="1:24" s="218" customFormat="1" ht="54">
      <c r="A222" s="211" t="s">
        <v>297</v>
      </c>
      <c r="B222" s="317" t="s">
        <v>41</v>
      </c>
      <c r="C222" s="213" t="s">
        <v>298</v>
      </c>
      <c r="D222" s="213"/>
      <c r="E222" s="214"/>
      <c r="F222" s="213"/>
      <c r="G222" s="216"/>
      <c r="H222" s="216"/>
      <c r="I222" s="213"/>
      <c r="J222" s="213"/>
      <c r="K222" s="213"/>
      <c r="L222" s="217"/>
      <c r="M222" s="74">
        <f>N222+O222+S222+T222+W222+X222</f>
        <v>20000</v>
      </c>
      <c r="N222" s="217">
        <v>0</v>
      </c>
      <c r="O222" s="217">
        <v>0</v>
      </c>
      <c r="P222" s="217">
        <v>0</v>
      </c>
      <c r="Q222" s="217">
        <f>SUM(Q223:Q224)</f>
        <v>20000</v>
      </c>
      <c r="R222" s="217">
        <v>0</v>
      </c>
      <c r="S222" s="217">
        <f>SUM(P222:R222)</f>
        <v>20000</v>
      </c>
      <c r="T222" s="217">
        <v>0</v>
      </c>
      <c r="U222" s="217">
        <v>0</v>
      </c>
      <c r="V222" s="217">
        <v>0</v>
      </c>
      <c r="W222" s="217">
        <f>SUM(U222:V222)</f>
        <v>0</v>
      </c>
      <c r="X222" s="217">
        <v>0</v>
      </c>
    </row>
    <row r="223" spans="1:24" s="218" customFormat="1">
      <c r="A223" s="219"/>
      <c r="B223" s="319" t="s">
        <v>34</v>
      </c>
      <c r="C223" s="221" t="s">
        <v>299</v>
      </c>
      <c r="D223" s="213"/>
      <c r="E223" s="214"/>
      <c r="F223" s="217">
        <f>2000*5</f>
        <v>10000</v>
      </c>
      <c r="G223" s="216"/>
      <c r="H223" s="216"/>
      <c r="I223" s="213"/>
      <c r="J223" s="213"/>
      <c r="K223" s="213"/>
      <c r="L223" s="217"/>
      <c r="M223" s="217"/>
      <c r="N223" s="217"/>
      <c r="O223" s="217"/>
      <c r="P223" s="217"/>
      <c r="Q223" s="217">
        <v>5000</v>
      </c>
      <c r="R223" s="217"/>
      <c r="S223" s="217"/>
      <c r="T223" s="217"/>
      <c r="U223" s="217"/>
      <c r="V223" s="217"/>
      <c r="W223" s="217"/>
      <c r="X223" s="217"/>
    </row>
    <row r="224" spans="1:24" s="231" customFormat="1">
      <c r="A224" s="229"/>
      <c r="B224" s="320" t="s">
        <v>34</v>
      </c>
      <c r="C224" s="221" t="s">
        <v>300</v>
      </c>
      <c r="D224" s="225"/>
      <c r="E224" s="226"/>
      <c r="F224" s="217">
        <f>2000*5</f>
        <v>10000</v>
      </c>
      <c r="G224" s="230"/>
      <c r="H224" s="230"/>
      <c r="I224" s="225"/>
      <c r="J224" s="225"/>
      <c r="K224" s="225"/>
      <c r="L224" s="227"/>
      <c r="M224" s="227"/>
      <c r="N224" s="227"/>
      <c r="O224" s="227"/>
      <c r="P224" s="227"/>
      <c r="Q224" s="227">
        <v>15000</v>
      </c>
      <c r="R224" s="227"/>
      <c r="S224" s="227"/>
      <c r="T224" s="227"/>
      <c r="U224" s="227"/>
      <c r="V224" s="227"/>
      <c r="W224" s="227"/>
      <c r="X224" s="227"/>
    </row>
    <row r="225" spans="1:24" s="218" customFormat="1" ht="54">
      <c r="A225" s="211" t="s">
        <v>301</v>
      </c>
      <c r="B225" s="317" t="s">
        <v>41</v>
      </c>
      <c r="C225" s="213" t="s">
        <v>302</v>
      </c>
      <c r="D225" s="213"/>
      <c r="E225" s="214"/>
      <c r="F225" s="215" t="s">
        <v>34</v>
      </c>
      <c r="G225" s="216"/>
      <c r="H225" s="216"/>
      <c r="I225" s="213"/>
      <c r="J225" s="213"/>
      <c r="K225" s="213"/>
      <c r="L225" s="217"/>
      <c r="M225" s="74">
        <f>N225+O225+S225+T225+W225+X225</f>
        <v>10500</v>
      </c>
      <c r="N225" s="217">
        <v>0</v>
      </c>
      <c r="O225" s="217">
        <v>0</v>
      </c>
      <c r="P225" s="217">
        <v>0</v>
      </c>
      <c r="Q225" s="217">
        <f>SUM(Q226:Q227)</f>
        <v>10500</v>
      </c>
      <c r="R225" s="217">
        <v>0</v>
      </c>
      <c r="S225" s="217">
        <f>SUM(P225:R225)</f>
        <v>10500</v>
      </c>
      <c r="T225" s="217">
        <v>0</v>
      </c>
      <c r="U225" s="217">
        <v>0</v>
      </c>
      <c r="V225" s="217">
        <v>0</v>
      </c>
      <c r="W225" s="217">
        <f>SUM(U225:V225)</f>
        <v>0</v>
      </c>
      <c r="X225" s="217">
        <v>0</v>
      </c>
    </row>
    <row r="226" spans="1:24" s="218" customFormat="1">
      <c r="A226" s="219"/>
      <c r="B226" s="319" t="s">
        <v>34</v>
      </c>
      <c r="C226" s="221" t="s">
        <v>303</v>
      </c>
      <c r="D226" s="213"/>
      <c r="E226" s="214"/>
      <c r="F226" s="217">
        <f>25*70*6</f>
        <v>10500</v>
      </c>
      <c r="G226" s="216"/>
      <c r="H226" s="216"/>
      <c r="I226" s="213"/>
      <c r="J226" s="213"/>
      <c r="K226" s="213"/>
      <c r="L226" s="217"/>
      <c r="M226" s="217"/>
      <c r="N226" s="217"/>
      <c r="O226" s="217"/>
      <c r="P226" s="217"/>
      <c r="Q226" s="217">
        <f>25*70*4</f>
        <v>7000</v>
      </c>
      <c r="R226" s="217"/>
      <c r="S226" s="217"/>
      <c r="T226" s="217"/>
      <c r="U226" s="217"/>
      <c r="V226" s="217"/>
      <c r="W226" s="217"/>
      <c r="X226" s="217"/>
    </row>
    <row r="227" spans="1:24" s="218" customFormat="1">
      <c r="A227" s="222"/>
      <c r="B227" s="320" t="s">
        <v>39</v>
      </c>
      <c r="C227" s="221" t="s">
        <v>304</v>
      </c>
      <c r="D227" s="213"/>
      <c r="E227" s="214"/>
      <c r="F227" s="217">
        <f>50*70*2</f>
        <v>7000</v>
      </c>
      <c r="G227" s="216"/>
      <c r="H227" s="216"/>
      <c r="I227" s="213"/>
      <c r="J227" s="213"/>
      <c r="K227" s="213"/>
      <c r="L227" s="217"/>
      <c r="M227" s="217"/>
      <c r="N227" s="217"/>
      <c r="O227" s="217"/>
      <c r="P227" s="217"/>
      <c r="Q227" s="217">
        <f>50*70*1</f>
        <v>3500</v>
      </c>
      <c r="R227" s="217"/>
      <c r="S227" s="217"/>
      <c r="T227" s="217"/>
      <c r="U227" s="217"/>
      <c r="V227" s="217"/>
      <c r="W227" s="217"/>
      <c r="X227" s="217"/>
    </row>
    <row r="228" spans="1:24" s="218" customFormat="1" ht="54">
      <c r="A228" s="211" t="s">
        <v>305</v>
      </c>
      <c r="B228" s="317" t="s">
        <v>41</v>
      </c>
      <c r="C228" s="213" t="s">
        <v>306</v>
      </c>
      <c r="D228" s="213"/>
      <c r="E228" s="214"/>
      <c r="F228" s="213"/>
      <c r="G228" s="216"/>
      <c r="H228" s="216"/>
      <c r="I228" s="213"/>
      <c r="J228" s="213"/>
      <c r="K228" s="213"/>
      <c r="L228" s="217"/>
      <c r="M228" s="74">
        <f>N228+O228+S228+T228+W228+X228</f>
        <v>20000</v>
      </c>
      <c r="N228" s="217">
        <v>0</v>
      </c>
      <c r="O228" s="217">
        <v>0</v>
      </c>
      <c r="P228" s="217">
        <v>0</v>
      </c>
      <c r="Q228" s="217">
        <f>SUM(Q229:Q230)</f>
        <v>20000</v>
      </c>
      <c r="R228" s="217">
        <v>0</v>
      </c>
      <c r="S228" s="217">
        <f>SUM(P228:R228)</f>
        <v>20000</v>
      </c>
      <c r="T228" s="217">
        <v>0</v>
      </c>
      <c r="U228" s="217">
        <v>0</v>
      </c>
      <c r="V228" s="217">
        <v>0</v>
      </c>
      <c r="W228" s="217">
        <f>SUM(U228:V228)</f>
        <v>0</v>
      </c>
      <c r="X228" s="217">
        <v>0</v>
      </c>
    </row>
    <row r="229" spans="1:24" s="218" customFormat="1">
      <c r="A229" s="219"/>
      <c r="B229" s="319" t="s">
        <v>34</v>
      </c>
      <c r="C229" s="213" t="s">
        <v>307</v>
      </c>
      <c r="D229" s="213"/>
      <c r="E229" s="214"/>
      <c r="F229" s="213"/>
      <c r="G229" s="216"/>
      <c r="H229" s="216"/>
      <c r="I229" s="213"/>
      <c r="J229" s="213"/>
      <c r="K229" s="213"/>
      <c r="L229" s="217"/>
      <c r="M229" s="217"/>
      <c r="N229" s="217"/>
      <c r="O229" s="217"/>
      <c r="P229" s="217"/>
      <c r="Q229" s="217">
        <v>15000</v>
      </c>
      <c r="R229" s="217"/>
      <c r="S229" s="217"/>
      <c r="T229" s="217"/>
      <c r="U229" s="217"/>
      <c r="V229" s="217"/>
      <c r="W229" s="217"/>
      <c r="X229" s="217"/>
    </row>
    <row r="230" spans="1:24" s="218" customFormat="1">
      <c r="A230" s="222"/>
      <c r="B230" s="320" t="s">
        <v>34</v>
      </c>
      <c r="C230" s="213" t="s">
        <v>308</v>
      </c>
      <c r="D230" s="213"/>
      <c r="E230" s="214"/>
      <c r="F230" s="213"/>
      <c r="G230" s="216"/>
      <c r="H230" s="216"/>
      <c r="I230" s="213"/>
      <c r="J230" s="213"/>
      <c r="K230" s="213"/>
      <c r="L230" s="217"/>
      <c r="M230" s="217"/>
      <c r="N230" s="217"/>
      <c r="O230" s="217"/>
      <c r="P230" s="217"/>
      <c r="Q230" s="217">
        <v>5000</v>
      </c>
      <c r="R230" s="217"/>
      <c r="S230" s="217"/>
      <c r="T230" s="217"/>
      <c r="U230" s="217"/>
      <c r="V230" s="217"/>
      <c r="W230" s="217"/>
      <c r="X230" s="217"/>
    </row>
    <row r="231" spans="1:24" s="135" customFormat="1" ht="54">
      <c r="A231" s="128" t="s">
        <v>309</v>
      </c>
      <c r="B231" s="321" t="s">
        <v>41</v>
      </c>
      <c r="C231" s="232" t="s">
        <v>310</v>
      </c>
      <c r="D231" s="232"/>
      <c r="E231" s="233"/>
      <c r="F231" s="232"/>
      <c r="G231" s="132"/>
      <c r="H231" s="132"/>
      <c r="I231" s="232"/>
      <c r="J231" s="232"/>
      <c r="K231" s="232"/>
      <c r="L231" s="134"/>
      <c r="M231" s="74">
        <f>N231+O231+S231+T231+W231+X231</f>
        <v>20000</v>
      </c>
      <c r="N231" s="217">
        <v>0</v>
      </c>
      <c r="O231" s="217">
        <v>0</v>
      </c>
      <c r="P231" s="217">
        <v>0</v>
      </c>
      <c r="Q231" s="134">
        <f>Q232</f>
        <v>20000</v>
      </c>
      <c r="R231" s="217">
        <v>0</v>
      </c>
      <c r="S231" s="217">
        <f>SUM(P231:R231)</f>
        <v>20000</v>
      </c>
      <c r="T231" s="217">
        <v>0</v>
      </c>
      <c r="U231" s="217">
        <v>0</v>
      </c>
      <c r="V231" s="217">
        <v>0</v>
      </c>
      <c r="W231" s="217">
        <f>SUM(U231:V231)</f>
        <v>0</v>
      </c>
      <c r="X231" s="217">
        <v>0</v>
      </c>
    </row>
    <row r="232" spans="1:24" s="135" customFormat="1">
      <c r="A232" s="234"/>
      <c r="B232" s="235" t="s">
        <v>34</v>
      </c>
      <c r="C232" s="236" t="s">
        <v>307</v>
      </c>
      <c r="D232" s="232"/>
      <c r="E232" s="233"/>
      <c r="F232" s="134">
        <v>20000</v>
      </c>
      <c r="G232" s="132"/>
      <c r="H232" s="132"/>
      <c r="I232" s="232"/>
      <c r="J232" s="232"/>
      <c r="K232" s="232"/>
      <c r="L232" s="134"/>
      <c r="M232" s="134" t="s">
        <v>34</v>
      </c>
      <c r="N232" s="134"/>
      <c r="O232" s="134"/>
      <c r="P232" s="134"/>
      <c r="Q232" s="134">
        <v>20000</v>
      </c>
      <c r="R232" s="134"/>
      <c r="S232" s="134"/>
      <c r="T232" s="134"/>
      <c r="U232" s="134"/>
      <c r="V232" s="134"/>
      <c r="W232" s="134"/>
      <c r="X232" s="134"/>
    </row>
    <row r="233" spans="1:24" s="76" customFormat="1" ht="43.5" customHeight="1">
      <c r="A233" s="66" t="s">
        <v>311</v>
      </c>
      <c r="B233" s="67" t="s">
        <v>45</v>
      </c>
      <c r="C233" s="68" t="s">
        <v>312</v>
      </c>
      <c r="D233" s="69" t="s">
        <v>313</v>
      </c>
      <c r="E233" s="69" t="s">
        <v>314</v>
      </c>
      <c r="F233" s="237" t="s">
        <v>315</v>
      </c>
      <c r="G233" s="71"/>
      <c r="H233" s="238"/>
      <c r="I233" s="196" t="s">
        <v>57</v>
      </c>
      <c r="J233" s="69"/>
      <c r="K233" s="69"/>
      <c r="L233" s="72"/>
      <c r="M233" s="74">
        <f>N233+O233+S233+T233+W233+X233</f>
        <v>3000</v>
      </c>
      <c r="N233" s="217">
        <v>0</v>
      </c>
      <c r="O233" s="217">
        <v>0</v>
      </c>
      <c r="P233" s="217">
        <v>0</v>
      </c>
      <c r="Q233" s="239">
        <f>SUM(Q234:Q235)</f>
        <v>3000</v>
      </c>
      <c r="R233" s="217">
        <v>0</v>
      </c>
      <c r="S233" s="217">
        <f>SUM(P233:R233)</f>
        <v>3000</v>
      </c>
      <c r="T233" s="217">
        <v>0</v>
      </c>
      <c r="U233" s="217">
        <v>0</v>
      </c>
      <c r="V233" s="217">
        <v>0</v>
      </c>
      <c r="W233" s="217">
        <f>SUM(U233:V233)</f>
        <v>0</v>
      </c>
      <c r="X233" s="217">
        <v>0</v>
      </c>
    </row>
    <row r="234" spans="1:24" s="86" customFormat="1">
      <c r="A234" s="77"/>
      <c r="B234" s="78" t="s">
        <v>34</v>
      </c>
      <c r="C234" s="79" t="s">
        <v>316</v>
      </c>
      <c r="D234" s="80"/>
      <c r="E234" s="81"/>
      <c r="F234" s="80"/>
      <c r="G234" s="82"/>
      <c r="H234" s="82"/>
      <c r="I234" s="83"/>
      <c r="J234" s="80"/>
      <c r="K234" s="80"/>
      <c r="L234" s="84"/>
      <c r="M234" s="85"/>
      <c r="N234" s="85"/>
      <c r="O234" s="85"/>
      <c r="P234" s="85"/>
      <c r="Q234" s="85">
        <f>25*12*4</f>
        <v>1200</v>
      </c>
      <c r="R234" s="85"/>
      <c r="S234" s="85"/>
      <c r="T234" s="85"/>
      <c r="U234" s="85"/>
      <c r="V234" s="85"/>
      <c r="W234" s="85"/>
      <c r="X234" s="85"/>
    </row>
    <row r="235" spans="1:24" s="86" customFormat="1">
      <c r="A235" s="87"/>
      <c r="B235" s="68" t="s">
        <v>34</v>
      </c>
      <c r="C235" s="79" t="s">
        <v>317</v>
      </c>
      <c r="D235" s="80"/>
      <c r="E235" s="81"/>
      <c r="F235" s="80"/>
      <c r="G235" s="82"/>
      <c r="H235" s="82"/>
      <c r="I235" s="83"/>
      <c r="J235" s="80"/>
      <c r="K235" s="80"/>
      <c r="L235" s="84"/>
      <c r="M235" s="85"/>
      <c r="N235" s="85"/>
      <c r="O235" s="85"/>
      <c r="P235" s="85"/>
      <c r="Q235" s="85">
        <f>50*12*3</f>
        <v>1800</v>
      </c>
      <c r="R235" s="85"/>
      <c r="S235" s="85"/>
      <c r="T235" s="85"/>
      <c r="U235" s="85"/>
      <c r="V235" s="85"/>
      <c r="W235" s="85"/>
      <c r="X235" s="85"/>
    </row>
    <row r="236" spans="1:24" s="76" customFormat="1" ht="62.25" customHeight="1">
      <c r="A236" s="66" t="s">
        <v>318</v>
      </c>
      <c r="B236" s="67" t="s">
        <v>45</v>
      </c>
      <c r="C236" s="68" t="s">
        <v>319</v>
      </c>
      <c r="D236" s="69" t="s">
        <v>320</v>
      </c>
      <c r="E236" s="69" t="s">
        <v>321</v>
      </c>
      <c r="F236" s="69" t="s">
        <v>322</v>
      </c>
      <c r="G236" s="71"/>
      <c r="H236" s="71"/>
      <c r="I236" s="18" t="s">
        <v>323</v>
      </c>
      <c r="J236" s="69"/>
      <c r="K236" s="69"/>
      <c r="L236" s="72"/>
      <c r="M236" s="74">
        <f>N236+O236+S236+T236+W236+X236</f>
        <v>13500</v>
      </c>
      <c r="N236" s="217">
        <v>0</v>
      </c>
      <c r="O236" s="217">
        <v>0</v>
      </c>
      <c r="P236" s="217">
        <v>0</v>
      </c>
      <c r="Q236" s="75">
        <f>SUM(Q237:Q238)</f>
        <v>13500</v>
      </c>
      <c r="R236" s="217">
        <v>0</v>
      </c>
      <c r="S236" s="217">
        <f>SUM(P236:R236)</f>
        <v>13500</v>
      </c>
      <c r="T236" s="217">
        <v>0</v>
      </c>
      <c r="U236" s="217">
        <v>0</v>
      </c>
      <c r="V236" s="217">
        <v>0</v>
      </c>
      <c r="W236" s="217">
        <f>SUM(U236:V236)</f>
        <v>0</v>
      </c>
      <c r="X236" s="217">
        <v>0</v>
      </c>
    </row>
    <row r="237" spans="1:24" s="76" customFormat="1">
      <c r="A237" s="93"/>
      <c r="B237" s="78" t="s">
        <v>34</v>
      </c>
      <c r="C237" s="94" t="s">
        <v>324</v>
      </c>
      <c r="D237" s="69"/>
      <c r="E237" s="193"/>
      <c r="F237" s="69"/>
      <c r="G237" s="71"/>
      <c r="H237" s="71"/>
      <c r="I237" s="140"/>
      <c r="J237" s="69"/>
      <c r="K237" s="69"/>
      <c r="L237" s="72"/>
      <c r="M237" s="73"/>
      <c r="N237" s="73"/>
      <c r="O237" s="73"/>
      <c r="P237" s="73"/>
      <c r="Q237" s="73">
        <f>50*15*12</f>
        <v>9000</v>
      </c>
      <c r="R237" s="73"/>
      <c r="S237" s="73"/>
      <c r="T237" s="73"/>
      <c r="U237" s="73"/>
      <c r="V237" s="73"/>
      <c r="W237" s="73"/>
      <c r="X237" s="73"/>
    </row>
    <row r="238" spans="1:24" s="76" customFormat="1">
      <c r="A238" s="95"/>
      <c r="B238" s="68" t="s">
        <v>34</v>
      </c>
      <c r="C238" s="94" t="s">
        <v>325</v>
      </c>
      <c r="D238" s="69"/>
      <c r="E238" s="193"/>
      <c r="F238" s="69"/>
      <c r="G238" s="71"/>
      <c r="H238" s="71"/>
      <c r="I238" s="140"/>
      <c r="J238" s="69"/>
      <c r="K238" s="69"/>
      <c r="L238" s="72"/>
      <c r="M238" s="73"/>
      <c r="N238" s="73"/>
      <c r="O238" s="73"/>
      <c r="P238" s="73"/>
      <c r="Q238" s="73">
        <f>25*15*12</f>
        <v>4500</v>
      </c>
      <c r="R238" s="73"/>
      <c r="S238" s="73"/>
      <c r="T238" s="73"/>
      <c r="U238" s="73"/>
      <c r="V238" s="73"/>
      <c r="W238" s="73"/>
      <c r="X238" s="73"/>
    </row>
    <row r="239" spans="1:24" s="76" customFormat="1" ht="47.25" customHeight="1">
      <c r="A239" s="66" t="s">
        <v>326</v>
      </c>
      <c r="B239" s="67" t="s">
        <v>106</v>
      </c>
      <c r="C239" s="68" t="s">
        <v>327</v>
      </c>
      <c r="D239" s="68"/>
      <c r="E239" s="88"/>
      <c r="F239" s="68"/>
      <c r="G239" s="89"/>
      <c r="H239" s="89"/>
      <c r="I239" s="90" t="s">
        <v>57</v>
      </c>
      <c r="J239" s="68"/>
      <c r="K239" s="68"/>
      <c r="L239" s="74"/>
      <c r="M239" s="74">
        <f>N239+O239+S239+T239+W239+X239</f>
        <v>11100</v>
      </c>
      <c r="N239" s="217">
        <v>0</v>
      </c>
      <c r="O239" s="217">
        <v>0</v>
      </c>
      <c r="P239" s="217">
        <v>0</v>
      </c>
      <c r="Q239" s="75">
        <f>SUM(Q240:Q242)</f>
        <v>11100</v>
      </c>
      <c r="R239" s="217">
        <v>0</v>
      </c>
      <c r="S239" s="217">
        <f>SUM(P239:R239)</f>
        <v>11100</v>
      </c>
      <c r="T239" s="217">
        <v>0</v>
      </c>
      <c r="U239" s="217">
        <v>0</v>
      </c>
      <c r="V239" s="217">
        <v>0</v>
      </c>
      <c r="W239" s="217">
        <f>SUM(U239:V239)</f>
        <v>0</v>
      </c>
      <c r="X239" s="217">
        <v>0</v>
      </c>
    </row>
    <row r="240" spans="1:24" s="76" customFormat="1">
      <c r="A240" s="93"/>
      <c r="B240" s="78"/>
      <c r="C240" s="103" t="s">
        <v>328</v>
      </c>
      <c r="D240" s="68"/>
      <c r="E240" s="88"/>
      <c r="F240" s="68"/>
      <c r="G240" s="89"/>
      <c r="H240" s="89"/>
      <c r="I240" s="90"/>
      <c r="J240" s="68"/>
      <c r="K240" s="68"/>
      <c r="L240" s="74"/>
      <c r="M240" s="74"/>
      <c r="N240" s="74"/>
      <c r="O240" s="75"/>
      <c r="P240" s="75"/>
      <c r="Q240" s="75">
        <f>600*2</f>
        <v>1200</v>
      </c>
      <c r="R240" s="75"/>
      <c r="S240" s="75"/>
      <c r="T240" s="75"/>
      <c r="U240" s="75"/>
      <c r="V240" s="73"/>
      <c r="W240" s="73"/>
      <c r="X240" s="73"/>
    </row>
    <row r="241" spans="1:24" s="76" customFormat="1">
      <c r="A241" s="93"/>
      <c r="B241" s="78"/>
      <c r="C241" s="103" t="s">
        <v>329</v>
      </c>
      <c r="D241" s="68"/>
      <c r="E241" s="88"/>
      <c r="F241" s="68"/>
      <c r="G241" s="89"/>
      <c r="H241" s="89"/>
      <c r="I241" s="90"/>
      <c r="J241" s="68"/>
      <c r="K241" s="68"/>
      <c r="L241" s="74"/>
      <c r="M241" s="74"/>
      <c r="N241" s="74"/>
      <c r="O241" s="75"/>
      <c r="P241" s="75"/>
      <c r="Q241" s="75">
        <f>50*11*12</f>
        <v>6600</v>
      </c>
      <c r="R241" s="75"/>
      <c r="S241" s="75"/>
      <c r="T241" s="75"/>
      <c r="U241" s="75"/>
      <c r="V241" s="73"/>
      <c r="W241" s="73"/>
      <c r="X241" s="73"/>
    </row>
    <row r="242" spans="1:24" s="76" customFormat="1">
      <c r="A242" s="95"/>
      <c r="B242" s="68"/>
      <c r="C242" s="240" t="s">
        <v>330</v>
      </c>
      <c r="D242" s="68"/>
      <c r="E242" s="88"/>
      <c r="F242" s="68"/>
      <c r="G242" s="89"/>
      <c r="H242" s="89"/>
      <c r="I242" s="90"/>
      <c r="J242" s="68"/>
      <c r="K242" s="68"/>
      <c r="L242" s="74"/>
      <c r="M242" s="74"/>
      <c r="N242" s="74"/>
      <c r="O242" s="75"/>
      <c r="P242" s="75"/>
      <c r="Q242" s="75">
        <f>25*11*12</f>
        <v>3300</v>
      </c>
      <c r="R242" s="75"/>
      <c r="S242" s="75"/>
      <c r="T242" s="75"/>
      <c r="U242" s="75"/>
      <c r="V242" s="73"/>
      <c r="W242" s="73"/>
      <c r="X242" s="73"/>
    </row>
    <row r="243" spans="1:24" s="76" customFormat="1" ht="108.75" customHeight="1">
      <c r="A243" s="114" t="s">
        <v>331</v>
      </c>
      <c r="B243" s="96" t="s">
        <v>89</v>
      </c>
      <c r="C243" s="96" t="s">
        <v>332</v>
      </c>
      <c r="D243" s="136" t="s">
        <v>333</v>
      </c>
      <c r="E243" s="136" t="s">
        <v>334</v>
      </c>
      <c r="F243" s="96" t="s">
        <v>335</v>
      </c>
      <c r="G243" s="98"/>
      <c r="H243" s="98"/>
      <c r="I243" s="90"/>
      <c r="J243" s="96"/>
      <c r="K243" s="96"/>
      <c r="L243" s="99"/>
      <c r="M243" s="99">
        <f>N243+O243+S243+T243+W243+X243</f>
        <v>17100</v>
      </c>
      <c r="N243" s="73">
        <v>0</v>
      </c>
      <c r="O243" s="73">
        <v>0</v>
      </c>
      <c r="P243" s="73">
        <v>0</v>
      </c>
      <c r="Q243" s="73">
        <f>SUM(Q244:Q245)</f>
        <v>17100</v>
      </c>
      <c r="R243" s="73">
        <v>0</v>
      </c>
      <c r="S243" s="73">
        <f>P243+Q243+R243</f>
        <v>17100</v>
      </c>
      <c r="T243" s="73">
        <v>0</v>
      </c>
      <c r="U243" s="73">
        <v>0</v>
      </c>
      <c r="V243" s="73">
        <v>0</v>
      </c>
      <c r="W243" s="73">
        <f>U243+V243</f>
        <v>0</v>
      </c>
      <c r="X243" s="73">
        <v>0</v>
      </c>
    </row>
    <row r="244" spans="1:24" s="76" customFormat="1">
      <c r="A244" s="93"/>
      <c r="B244" s="78" t="s">
        <v>34</v>
      </c>
      <c r="C244" s="94" t="s">
        <v>336</v>
      </c>
      <c r="D244" s="68"/>
      <c r="E244" s="88"/>
      <c r="F244" s="68"/>
      <c r="G244" s="89"/>
      <c r="H244" s="89"/>
      <c r="I244" s="108"/>
      <c r="J244" s="68"/>
      <c r="K244" s="68"/>
      <c r="L244" s="74"/>
      <c r="M244" s="124" t="s">
        <v>34</v>
      </c>
      <c r="N244" s="124"/>
      <c r="O244" s="124"/>
      <c r="P244" s="124"/>
      <c r="Q244" s="124">
        <f>50*19*12</f>
        <v>11400</v>
      </c>
      <c r="R244" s="124"/>
      <c r="S244" s="124"/>
      <c r="T244" s="124"/>
      <c r="U244" s="124"/>
      <c r="V244" s="124"/>
      <c r="W244" s="124"/>
      <c r="X244" s="124"/>
    </row>
    <row r="245" spans="1:24" s="76" customFormat="1">
      <c r="A245" s="95"/>
      <c r="B245" s="68" t="s">
        <v>34</v>
      </c>
      <c r="C245" s="94" t="s">
        <v>337</v>
      </c>
      <c r="D245" s="68"/>
      <c r="E245" s="88"/>
      <c r="F245" s="68"/>
      <c r="G245" s="89"/>
      <c r="H245" s="89"/>
      <c r="I245" s="90"/>
      <c r="J245" s="68"/>
      <c r="K245" s="68"/>
      <c r="L245" s="74"/>
      <c r="M245" s="73"/>
      <c r="N245" s="73"/>
      <c r="O245" s="73"/>
      <c r="P245" s="73"/>
      <c r="Q245" s="73">
        <f>25*19*12</f>
        <v>5700</v>
      </c>
      <c r="R245" s="73"/>
      <c r="S245" s="73"/>
      <c r="T245" s="73"/>
      <c r="U245" s="73"/>
      <c r="V245" s="73"/>
      <c r="W245" s="73"/>
      <c r="X245" s="73"/>
    </row>
    <row r="246" spans="1:24" s="76" customFormat="1" ht="63" customHeight="1">
      <c r="A246" s="66" t="s">
        <v>338</v>
      </c>
      <c r="B246" s="67" t="s">
        <v>81</v>
      </c>
      <c r="C246" s="68" t="s">
        <v>339</v>
      </c>
      <c r="D246" s="103" t="s">
        <v>340</v>
      </c>
      <c r="E246" s="88" t="s">
        <v>341</v>
      </c>
      <c r="F246" s="68"/>
      <c r="G246" s="89"/>
      <c r="H246" s="89"/>
      <c r="I246" s="90"/>
      <c r="J246" s="68"/>
      <c r="K246" s="68"/>
      <c r="L246" s="74"/>
      <c r="M246" s="74">
        <f>N246+O246+S246+T246+W246+X246</f>
        <v>16200</v>
      </c>
      <c r="N246" s="73">
        <v>0</v>
      </c>
      <c r="O246" s="73">
        <v>0</v>
      </c>
      <c r="P246" s="73">
        <v>0</v>
      </c>
      <c r="Q246" s="75">
        <f>SUM(Q247:Q248)</f>
        <v>16200</v>
      </c>
      <c r="R246" s="73">
        <v>0</v>
      </c>
      <c r="S246" s="73">
        <f>P246+Q246+R246</f>
        <v>16200</v>
      </c>
      <c r="T246" s="73">
        <v>0</v>
      </c>
      <c r="U246" s="73">
        <v>0</v>
      </c>
      <c r="V246" s="73">
        <v>0</v>
      </c>
      <c r="W246" s="73">
        <f>U246+V246</f>
        <v>0</v>
      </c>
      <c r="X246" s="73">
        <v>0</v>
      </c>
    </row>
    <row r="247" spans="1:24" s="76" customFormat="1">
      <c r="A247" s="93"/>
      <c r="B247" s="78" t="s">
        <v>34</v>
      </c>
      <c r="C247" s="94" t="s">
        <v>342</v>
      </c>
      <c r="D247" s="68"/>
      <c r="E247" s="88"/>
      <c r="F247" s="68"/>
      <c r="G247" s="89"/>
      <c r="H247" s="89"/>
      <c r="I247" s="90"/>
      <c r="J247" s="68"/>
      <c r="K247" s="68"/>
      <c r="L247" s="74"/>
      <c r="M247" s="74"/>
      <c r="N247" s="74"/>
      <c r="O247" s="75"/>
      <c r="P247" s="75"/>
      <c r="Q247" s="75">
        <f>50*18*12</f>
        <v>10800</v>
      </c>
      <c r="R247" s="75"/>
      <c r="S247" s="75"/>
      <c r="T247" s="75"/>
      <c r="U247" s="75"/>
      <c r="V247" s="73"/>
      <c r="W247" s="73"/>
      <c r="X247" s="73"/>
    </row>
    <row r="248" spans="1:24" s="76" customFormat="1">
      <c r="A248" s="95"/>
      <c r="B248" s="68" t="s">
        <v>34</v>
      </c>
      <c r="C248" s="94" t="s">
        <v>343</v>
      </c>
      <c r="D248" s="68"/>
      <c r="E248" s="88"/>
      <c r="F248" s="68"/>
      <c r="G248" s="89"/>
      <c r="H248" s="89"/>
      <c r="I248" s="90"/>
      <c r="J248" s="68"/>
      <c r="K248" s="68"/>
      <c r="L248" s="74"/>
      <c r="M248" s="74"/>
      <c r="N248" s="74"/>
      <c r="O248" s="75"/>
      <c r="P248" s="75"/>
      <c r="Q248" s="75">
        <f>25*18*12</f>
        <v>5400</v>
      </c>
      <c r="R248" s="75"/>
      <c r="S248" s="75"/>
      <c r="T248" s="75"/>
      <c r="U248" s="75"/>
      <c r="V248" s="73"/>
      <c r="W248" s="73"/>
      <c r="X248" s="73"/>
    </row>
    <row r="249" spans="1:24" s="76" customFormat="1" ht="129" customHeight="1">
      <c r="A249" s="66" t="s">
        <v>344</v>
      </c>
      <c r="B249" s="67" t="s">
        <v>81</v>
      </c>
      <c r="C249" s="96" t="s">
        <v>345</v>
      </c>
      <c r="D249" s="96" t="s">
        <v>346</v>
      </c>
      <c r="E249" s="241" t="s">
        <v>347</v>
      </c>
      <c r="F249" s="96"/>
      <c r="G249" s="98"/>
      <c r="H249" s="98"/>
      <c r="I249" s="90"/>
      <c r="J249" s="96"/>
      <c r="K249" s="96"/>
      <c r="L249" s="99"/>
      <c r="M249" s="74">
        <f>N249+O249+S249+T249+W249+X249</f>
        <v>20000</v>
      </c>
      <c r="N249" s="73">
        <v>0</v>
      </c>
      <c r="O249" s="73">
        <v>0</v>
      </c>
      <c r="P249" s="73">
        <v>0</v>
      </c>
      <c r="Q249" s="102">
        <f>SUM(Q250:Q250)</f>
        <v>20000</v>
      </c>
      <c r="R249" s="73">
        <v>0</v>
      </c>
      <c r="S249" s="73">
        <f>P249+Q249+R249</f>
        <v>20000</v>
      </c>
      <c r="T249" s="73">
        <v>0</v>
      </c>
      <c r="U249" s="73">
        <v>0</v>
      </c>
      <c r="V249" s="73">
        <v>0</v>
      </c>
      <c r="W249" s="73">
        <f>U249+V249</f>
        <v>0</v>
      </c>
      <c r="X249" s="73">
        <v>0</v>
      </c>
    </row>
    <row r="250" spans="1:24" s="76" customFormat="1" ht="37.5">
      <c r="A250" s="95"/>
      <c r="B250" s="68" t="s">
        <v>34</v>
      </c>
      <c r="C250" s="94" t="s">
        <v>348</v>
      </c>
      <c r="D250" s="68"/>
      <c r="E250" s="88"/>
      <c r="F250" s="68"/>
      <c r="G250" s="89"/>
      <c r="H250" s="89"/>
      <c r="I250" s="90"/>
      <c r="J250" s="68"/>
      <c r="K250" s="68"/>
      <c r="L250" s="74"/>
      <c r="M250" s="74"/>
      <c r="N250" s="74"/>
      <c r="O250" s="75"/>
      <c r="P250" s="75"/>
      <c r="Q250" s="75">
        <v>20000</v>
      </c>
      <c r="R250" s="75"/>
      <c r="S250" s="75"/>
      <c r="T250" s="75"/>
      <c r="U250" s="75"/>
      <c r="V250" s="73"/>
      <c r="W250" s="73"/>
      <c r="X250" s="73"/>
    </row>
    <row r="251" spans="1:24" s="76" customFormat="1" ht="69.75" customHeight="1">
      <c r="A251" s="66" t="s">
        <v>349</v>
      </c>
      <c r="B251" s="308" t="s">
        <v>140</v>
      </c>
      <c r="C251" s="68" t="s">
        <v>350</v>
      </c>
      <c r="D251" s="68" t="s">
        <v>34</v>
      </c>
      <c r="E251" s="104" t="s">
        <v>34</v>
      </c>
      <c r="F251" s="68"/>
      <c r="G251" s="89"/>
      <c r="H251" s="89"/>
      <c r="I251" s="90"/>
      <c r="J251" s="68"/>
      <c r="K251" s="68"/>
      <c r="L251" s="74"/>
      <c r="M251" s="74">
        <f>N251+O251+S251+T251+W251+X251</f>
        <v>19500</v>
      </c>
      <c r="N251" s="73">
        <v>0</v>
      </c>
      <c r="O251" s="73">
        <v>0</v>
      </c>
      <c r="P251" s="73">
        <v>0</v>
      </c>
      <c r="Q251" s="75">
        <f>SUM(Q252:Q253)</f>
        <v>19500</v>
      </c>
      <c r="R251" s="73">
        <v>0</v>
      </c>
      <c r="S251" s="73">
        <f>P251+Q251+R251</f>
        <v>19500</v>
      </c>
      <c r="T251" s="73">
        <v>0</v>
      </c>
      <c r="U251" s="73">
        <v>0</v>
      </c>
      <c r="V251" s="73">
        <v>0</v>
      </c>
      <c r="W251" s="73">
        <f>U251+V251</f>
        <v>0</v>
      </c>
      <c r="X251" s="73">
        <v>0</v>
      </c>
    </row>
    <row r="252" spans="1:24" s="76" customFormat="1">
      <c r="A252" s="93"/>
      <c r="B252" s="78" t="s">
        <v>34</v>
      </c>
      <c r="C252" s="94" t="s">
        <v>351</v>
      </c>
      <c r="D252" s="68"/>
      <c r="E252" s="88"/>
      <c r="F252" s="68"/>
      <c r="G252" s="89"/>
      <c r="H252" s="89"/>
      <c r="I252" s="90"/>
      <c r="J252" s="68"/>
      <c r="K252" s="68"/>
      <c r="L252" s="74"/>
      <c r="M252" s="74"/>
      <c r="N252" s="74"/>
      <c r="O252" s="75"/>
      <c r="P252" s="75"/>
      <c r="Q252" s="75">
        <f>50*30*8</f>
        <v>12000</v>
      </c>
      <c r="R252" s="75"/>
      <c r="S252" s="75"/>
      <c r="T252" s="75"/>
      <c r="U252" s="75"/>
      <c r="V252" s="73"/>
      <c r="W252" s="73"/>
      <c r="X252" s="73"/>
    </row>
    <row r="253" spans="1:24" s="76" customFormat="1">
      <c r="A253" s="95"/>
      <c r="B253" s="68" t="s">
        <v>34</v>
      </c>
      <c r="C253" s="94" t="s">
        <v>352</v>
      </c>
      <c r="D253" s="68"/>
      <c r="E253" s="88"/>
      <c r="F253" s="68"/>
      <c r="G253" s="89"/>
      <c r="H253" s="89"/>
      <c r="I253" s="90"/>
      <c r="J253" s="68"/>
      <c r="K253" s="68"/>
      <c r="L253" s="74"/>
      <c r="M253" s="74"/>
      <c r="N253" s="74"/>
      <c r="O253" s="75"/>
      <c r="P253" s="75"/>
      <c r="Q253" s="75">
        <f>25*30*10</f>
        <v>7500</v>
      </c>
      <c r="R253" s="75"/>
      <c r="S253" s="75"/>
      <c r="T253" s="75"/>
      <c r="U253" s="75"/>
      <c r="V253" s="73"/>
      <c r="W253" s="73"/>
      <c r="X253" s="73"/>
    </row>
    <row r="254" spans="1:24" s="76" customFormat="1" ht="107.25" customHeight="1">
      <c r="A254" s="66" t="s">
        <v>353</v>
      </c>
      <c r="B254" s="308" t="s">
        <v>140</v>
      </c>
      <c r="C254" s="68" t="s">
        <v>354</v>
      </c>
      <c r="D254" s="68" t="s">
        <v>34</v>
      </c>
      <c r="E254" s="104" t="s">
        <v>34</v>
      </c>
      <c r="F254" s="68"/>
      <c r="G254" s="89"/>
      <c r="H254" s="89"/>
      <c r="I254" s="90"/>
      <c r="J254" s="68"/>
      <c r="K254" s="68"/>
      <c r="L254" s="74"/>
      <c r="M254" s="74">
        <f>N254+O254+S254+T254+W254+X254</f>
        <v>50000</v>
      </c>
      <c r="N254" s="73">
        <v>0</v>
      </c>
      <c r="O254" s="73">
        <v>0</v>
      </c>
      <c r="P254" s="73">
        <v>0</v>
      </c>
      <c r="Q254" s="75">
        <f>SUM(Q255)</f>
        <v>50000</v>
      </c>
      <c r="R254" s="73">
        <v>0</v>
      </c>
      <c r="S254" s="73">
        <f>P254+Q254+R254</f>
        <v>50000</v>
      </c>
      <c r="T254" s="73">
        <v>0</v>
      </c>
      <c r="U254" s="73">
        <v>0</v>
      </c>
      <c r="V254" s="73">
        <v>0</v>
      </c>
      <c r="W254" s="73">
        <f>U254+V254</f>
        <v>0</v>
      </c>
      <c r="X254" s="73">
        <v>0</v>
      </c>
    </row>
    <row r="255" spans="1:24" s="76" customFormat="1" ht="39.75" customHeight="1">
      <c r="A255" s="95"/>
      <c r="B255" s="68" t="s">
        <v>34</v>
      </c>
      <c r="C255" s="94" t="s">
        <v>355</v>
      </c>
      <c r="D255" s="68"/>
      <c r="E255" s="88"/>
      <c r="F255" s="68"/>
      <c r="G255" s="89"/>
      <c r="H255" s="89"/>
      <c r="I255" s="90"/>
      <c r="J255" s="68"/>
      <c r="K255" s="68"/>
      <c r="L255" s="74"/>
      <c r="M255" s="74"/>
      <c r="N255" s="74"/>
      <c r="O255" s="75"/>
      <c r="P255" s="75"/>
      <c r="Q255" s="75">
        <v>50000</v>
      </c>
      <c r="R255" s="75"/>
      <c r="S255" s="75"/>
      <c r="T255" s="75"/>
      <c r="U255" s="75"/>
      <c r="V255" s="73"/>
      <c r="W255" s="73"/>
      <c r="X255" s="73"/>
    </row>
    <row r="256" spans="1:24" s="76" customFormat="1" ht="42">
      <c r="A256" s="66" t="s">
        <v>356</v>
      </c>
      <c r="B256" s="67" t="s">
        <v>357</v>
      </c>
      <c r="C256" s="68" t="s">
        <v>358</v>
      </c>
      <c r="D256" s="68" t="s">
        <v>34</v>
      </c>
      <c r="E256" s="104" t="s">
        <v>34</v>
      </c>
      <c r="F256" s="68"/>
      <c r="G256" s="89"/>
      <c r="H256" s="89"/>
      <c r="I256" s="90"/>
      <c r="J256" s="68"/>
      <c r="K256" s="68"/>
      <c r="L256" s="74"/>
      <c r="M256" s="74">
        <f>N256+O256+S256+T256+W256+X256</f>
        <v>25000</v>
      </c>
      <c r="N256" s="73">
        <v>0</v>
      </c>
      <c r="O256" s="73">
        <v>0</v>
      </c>
      <c r="P256" s="73">
        <v>0</v>
      </c>
      <c r="Q256" s="75">
        <f>SUM(Q257:Q261)</f>
        <v>25000</v>
      </c>
      <c r="R256" s="73">
        <v>0</v>
      </c>
      <c r="S256" s="73">
        <f>P256+Q256+R256</f>
        <v>25000</v>
      </c>
      <c r="T256" s="73">
        <v>0</v>
      </c>
      <c r="U256" s="73">
        <v>0</v>
      </c>
      <c r="V256" s="73">
        <v>0</v>
      </c>
      <c r="W256" s="73">
        <f>U256+V256</f>
        <v>0</v>
      </c>
      <c r="X256" s="73">
        <v>0</v>
      </c>
    </row>
    <row r="257" spans="1:24" s="76" customFormat="1">
      <c r="A257" s="93"/>
      <c r="B257" s="78"/>
      <c r="C257" s="94" t="s">
        <v>359</v>
      </c>
      <c r="D257" s="68"/>
      <c r="E257" s="104"/>
      <c r="F257" s="68"/>
      <c r="G257" s="89"/>
      <c r="H257" s="89"/>
      <c r="I257" s="90"/>
      <c r="J257" s="68"/>
      <c r="K257" s="68"/>
      <c r="L257" s="74"/>
      <c r="M257" s="74"/>
      <c r="N257" s="74"/>
      <c r="O257" s="75"/>
      <c r="P257" s="75"/>
      <c r="Q257" s="75">
        <f>50*70*2</f>
        <v>7000</v>
      </c>
      <c r="R257" s="75"/>
      <c r="S257" s="75"/>
      <c r="T257" s="75"/>
      <c r="U257" s="75"/>
      <c r="V257" s="73"/>
      <c r="W257" s="73"/>
      <c r="X257" s="73"/>
    </row>
    <row r="258" spans="1:24" s="76" customFormat="1">
      <c r="A258" s="93"/>
      <c r="B258" s="78"/>
      <c r="C258" s="94" t="s">
        <v>360</v>
      </c>
      <c r="D258" s="68"/>
      <c r="E258" s="104"/>
      <c r="F258" s="68"/>
      <c r="G258" s="89"/>
      <c r="H258" s="89"/>
      <c r="I258" s="90"/>
      <c r="J258" s="68"/>
      <c r="K258" s="68"/>
      <c r="L258" s="74"/>
      <c r="M258" s="74"/>
      <c r="N258" s="74"/>
      <c r="O258" s="75"/>
      <c r="P258" s="75"/>
      <c r="Q258" s="75">
        <f>50*15*4</f>
        <v>3000</v>
      </c>
      <c r="R258" s="75"/>
      <c r="S258" s="75"/>
      <c r="T258" s="75"/>
      <c r="U258" s="75"/>
      <c r="V258" s="73"/>
      <c r="W258" s="73"/>
      <c r="X258" s="73"/>
    </row>
    <row r="259" spans="1:24" s="76" customFormat="1">
      <c r="A259" s="93"/>
      <c r="B259" s="78"/>
      <c r="C259" s="79" t="s">
        <v>361</v>
      </c>
      <c r="D259" s="68"/>
      <c r="E259" s="104"/>
      <c r="F259" s="68"/>
      <c r="G259" s="89"/>
      <c r="H259" s="89"/>
      <c r="I259" s="90"/>
      <c r="J259" s="68"/>
      <c r="K259" s="68"/>
      <c r="L259" s="74"/>
      <c r="M259" s="74"/>
      <c r="N259" s="74"/>
      <c r="O259" s="75"/>
      <c r="P259" s="75"/>
      <c r="Q259" s="75">
        <f>25*70*2</f>
        <v>3500</v>
      </c>
      <c r="R259" s="75"/>
      <c r="S259" s="75"/>
      <c r="T259" s="75"/>
      <c r="U259" s="75"/>
      <c r="V259" s="73"/>
      <c r="W259" s="73"/>
      <c r="X259" s="73"/>
    </row>
    <row r="260" spans="1:24" s="76" customFormat="1" ht="37.5">
      <c r="A260" s="93"/>
      <c r="B260" s="78"/>
      <c r="C260" s="94" t="s">
        <v>362</v>
      </c>
      <c r="D260" s="68"/>
      <c r="E260" s="104"/>
      <c r="F260" s="68"/>
      <c r="G260" s="89"/>
      <c r="H260" s="89"/>
      <c r="I260" s="90"/>
      <c r="J260" s="68"/>
      <c r="K260" s="68"/>
      <c r="L260" s="74"/>
      <c r="M260" s="74"/>
      <c r="N260" s="74"/>
      <c r="O260" s="75"/>
      <c r="P260" s="75"/>
      <c r="Q260" s="75">
        <f>25*15*4</f>
        <v>1500</v>
      </c>
      <c r="R260" s="75"/>
      <c r="S260" s="75"/>
      <c r="T260" s="75"/>
      <c r="U260" s="75"/>
      <c r="V260" s="73"/>
      <c r="W260" s="73"/>
      <c r="X260" s="73"/>
    </row>
    <row r="261" spans="1:24" s="76" customFormat="1" ht="37.5">
      <c r="A261" s="95"/>
      <c r="B261" s="68"/>
      <c r="C261" s="94" t="s">
        <v>363</v>
      </c>
      <c r="D261" s="68"/>
      <c r="E261" s="104"/>
      <c r="F261" s="68"/>
      <c r="G261" s="89"/>
      <c r="H261" s="89"/>
      <c r="I261" s="90"/>
      <c r="J261" s="68"/>
      <c r="K261" s="68"/>
      <c r="L261" s="74"/>
      <c r="M261" s="74"/>
      <c r="N261" s="74"/>
      <c r="O261" s="75"/>
      <c r="P261" s="75"/>
      <c r="Q261" s="75">
        <v>10000</v>
      </c>
      <c r="R261" s="75"/>
      <c r="S261" s="75"/>
      <c r="T261" s="75"/>
      <c r="U261" s="75"/>
      <c r="V261" s="73"/>
      <c r="W261" s="73"/>
      <c r="X261" s="73"/>
    </row>
    <row r="262" spans="1:24" s="76" customFormat="1" ht="41.25" customHeight="1">
      <c r="A262" s="66" t="s">
        <v>364</v>
      </c>
      <c r="B262" s="67" t="s">
        <v>365</v>
      </c>
      <c r="C262" s="68" t="s">
        <v>366</v>
      </c>
      <c r="D262" s="68"/>
      <c r="E262" s="88"/>
      <c r="F262" s="68"/>
      <c r="G262" s="89"/>
      <c r="H262" s="89"/>
      <c r="I262" s="90" t="s">
        <v>57</v>
      </c>
      <c r="J262" s="68"/>
      <c r="K262" s="68"/>
      <c r="L262" s="74"/>
      <c r="M262" s="74">
        <f>N262+O262+S262+T262+W262+X262</f>
        <v>30000</v>
      </c>
      <c r="N262" s="73">
        <v>0</v>
      </c>
      <c r="O262" s="73">
        <v>0</v>
      </c>
      <c r="P262" s="73">
        <v>0</v>
      </c>
      <c r="Q262" s="73">
        <f>Q263</f>
        <v>30000</v>
      </c>
      <c r="R262" s="73">
        <v>0</v>
      </c>
      <c r="S262" s="73">
        <f>P262+Q262+R262</f>
        <v>30000</v>
      </c>
      <c r="T262" s="73">
        <v>0</v>
      </c>
      <c r="U262" s="73">
        <v>0</v>
      </c>
      <c r="V262" s="73">
        <v>0</v>
      </c>
      <c r="W262" s="73">
        <f>U262+V262</f>
        <v>0</v>
      </c>
      <c r="X262" s="73">
        <v>0</v>
      </c>
    </row>
    <row r="263" spans="1:24" s="76" customFormat="1">
      <c r="A263" s="108"/>
      <c r="B263" s="68"/>
      <c r="C263" s="94" t="s">
        <v>367</v>
      </c>
      <c r="D263" s="68"/>
      <c r="E263" s="88"/>
      <c r="F263" s="68"/>
      <c r="G263" s="89"/>
      <c r="H263" s="89"/>
      <c r="I263" s="90"/>
      <c r="J263" s="68"/>
      <c r="K263" s="68"/>
      <c r="L263" s="74"/>
      <c r="M263" s="73"/>
      <c r="N263" s="73"/>
      <c r="O263" s="73"/>
      <c r="P263" s="73"/>
      <c r="Q263" s="73">
        <f>3*10000</f>
        <v>30000</v>
      </c>
      <c r="S263" s="73"/>
      <c r="T263" s="73"/>
      <c r="U263" s="73"/>
      <c r="V263" s="73"/>
      <c r="W263" s="73"/>
      <c r="X263" s="73"/>
    </row>
    <row r="264" spans="1:24" s="218" customFormat="1" ht="63">
      <c r="A264" s="211" t="s">
        <v>368</v>
      </c>
      <c r="B264" s="212" t="s">
        <v>128</v>
      </c>
      <c r="C264" s="213" t="s">
        <v>369</v>
      </c>
      <c r="D264" s="213"/>
      <c r="E264" s="214"/>
      <c r="F264" s="228" t="s">
        <v>34</v>
      </c>
      <c r="G264" s="216"/>
      <c r="H264" s="216"/>
      <c r="I264" s="213"/>
      <c r="J264" s="213"/>
      <c r="K264" s="213"/>
      <c r="L264" s="217"/>
      <c r="M264" s="74">
        <f>N264+O264+S264+T264+W264+X264</f>
        <v>75000</v>
      </c>
      <c r="N264" s="73">
        <v>0</v>
      </c>
      <c r="O264" s="73">
        <v>0</v>
      </c>
      <c r="P264" s="73">
        <v>0</v>
      </c>
      <c r="Q264" s="217">
        <f>SUM(Q265:Q269)</f>
        <v>75000</v>
      </c>
      <c r="R264" s="73">
        <v>0</v>
      </c>
      <c r="S264" s="73">
        <f>P264+Q264+R264</f>
        <v>75000</v>
      </c>
      <c r="T264" s="73">
        <v>0</v>
      </c>
      <c r="U264" s="73">
        <v>0</v>
      </c>
      <c r="V264" s="73">
        <v>0</v>
      </c>
      <c r="W264" s="73">
        <f>U264+V264</f>
        <v>0</v>
      </c>
      <c r="X264" s="73">
        <v>0</v>
      </c>
    </row>
    <row r="265" spans="1:24" s="218" customFormat="1" ht="20.25" customHeight="1">
      <c r="A265" s="219"/>
      <c r="B265" s="220" t="s">
        <v>34</v>
      </c>
      <c r="C265" s="221" t="s">
        <v>370</v>
      </c>
      <c r="D265" s="213"/>
      <c r="E265" s="214"/>
      <c r="F265" s="228">
        <f>12000*4</f>
        <v>48000</v>
      </c>
      <c r="G265" s="216"/>
      <c r="H265" s="216"/>
      <c r="I265" s="213"/>
      <c r="J265" s="213"/>
      <c r="K265" s="213"/>
      <c r="L265" s="217"/>
      <c r="M265" s="217"/>
      <c r="N265" s="217"/>
      <c r="O265" s="217"/>
      <c r="P265" s="217"/>
      <c r="Q265" s="217">
        <f>2500*4</f>
        <v>10000</v>
      </c>
      <c r="R265" s="217"/>
      <c r="S265" s="217"/>
      <c r="T265" s="217"/>
      <c r="U265" s="217"/>
      <c r="V265" s="217"/>
      <c r="W265" s="217"/>
      <c r="X265" s="217"/>
    </row>
    <row r="266" spans="1:24" s="218" customFormat="1">
      <c r="A266" s="219"/>
      <c r="B266" s="220" t="s">
        <v>34</v>
      </c>
      <c r="C266" s="221" t="s">
        <v>371</v>
      </c>
      <c r="D266" s="213"/>
      <c r="E266" s="214"/>
      <c r="F266" s="228">
        <f>500*30*3</f>
        <v>45000</v>
      </c>
      <c r="G266" s="216"/>
      <c r="H266" s="216"/>
      <c r="I266" s="213"/>
      <c r="J266" s="213"/>
      <c r="K266" s="213"/>
      <c r="L266" s="217"/>
      <c r="M266" s="217"/>
      <c r="N266" s="217"/>
      <c r="O266" s="217"/>
      <c r="P266" s="217"/>
      <c r="Q266" s="217">
        <f>500*20*3</f>
        <v>30000</v>
      </c>
      <c r="R266" s="217"/>
      <c r="S266" s="217"/>
      <c r="T266" s="217"/>
      <c r="U266" s="217"/>
      <c r="V266" s="217"/>
      <c r="W266" s="217"/>
      <c r="X266" s="217"/>
    </row>
    <row r="267" spans="1:24" s="218" customFormat="1">
      <c r="A267" s="219"/>
      <c r="B267" s="220" t="s">
        <v>34</v>
      </c>
      <c r="C267" s="221" t="s">
        <v>372</v>
      </c>
      <c r="D267" s="213"/>
      <c r="E267" s="214"/>
      <c r="F267" s="228">
        <f>210*30*4</f>
        <v>25200</v>
      </c>
      <c r="G267" s="216"/>
      <c r="H267" s="216"/>
      <c r="I267" s="213"/>
      <c r="J267" s="213"/>
      <c r="K267" s="213"/>
      <c r="L267" s="217"/>
      <c r="M267" s="217"/>
      <c r="N267" s="217"/>
      <c r="O267" s="217"/>
      <c r="P267" s="217"/>
      <c r="Q267" s="217">
        <f>210*20*4</f>
        <v>16800</v>
      </c>
      <c r="R267" s="217"/>
      <c r="S267" s="217"/>
      <c r="T267" s="217"/>
      <c r="U267" s="217"/>
      <c r="V267" s="217"/>
      <c r="W267" s="217"/>
      <c r="X267" s="217"/>
    </row>
    <row r="268" spans="1:24" s="218" customFormat="1">
      <c r="A268" s="219"/>
      <c r="B268" s="220" t="s">
        <v>34</v>
      </c>
      <c r="C268" s="221" t="s">
        <v>373</v>
      </c>
      <c r="D268" s="213"/>
      <c r="E268" s="214"/>
      <c r="F268" s="228">
        <v>1000</v>
      </c>
      <c r="G268" s="216"/>
      <c r="H268" s="216"/>
      <c r="I268" s="213"/>
      <c r="J268" s="213"/>
      <c r="K268" s="213"/>
      <c r="L268" s="217"/>
      <c r="M268" s="217"/>
      <c r="N268" s="217"/>
      <c r="O268" s="217"/>
      <c r="P268" s="217"/>
      <c r="Q268" s="217">
        <v>15000</v>
      </c>
      <c r="R268" s="217"/>
      <c r="S268" s="217"/>
      <c r="T268" s="217"/>
      <c r="U268" s="217"/>
      <c r="V268" s="217"/>
      <c r="W268" s="217"/>
      <c r="X268" s="217"/>
    </row>
    <row r="269" spans="1:24" s="218" customFormat="1">
      <c r="A269" s="222"/>
      <c r="B269" s="223" t="s">
        <v>34</v>
      </c>
      <c r="C269" s="221" t="s">
        <v>374</v>
      </c>
      <c r="D269" s="213"/>
      <c r="E269" s="214"/>
      <c r="F269" s="228">
        <v>800</v>
      </c>
      <c r="G269" s="216"/>
      <c r="H269" s="216"/>
      <c r="I269" s="213"/>
      <c r="J269" s="213"/>
      <c r="K269" s="213"/>
      <c r="L269" s="217"/>
      <c r="M269" s="217"/>
      <c r="N269" s="217"/>
      <c r="O269" s="217"/>
      <c r="P269" s="217"/>
      <c r="Q269" s="217">
        <v>3200</v>
      </c>
      <c r="R269" s="217"/>
      <c r="S269" s="217"/>
      <c r="T269" s="217"/>
      <c r="U269" s="217"/>
      <c r="V269" s="217"/>
      <c r="W269" s="217"/>
      <c r="X269" s="217"/>
    </row>
    <row r="270" spans="1:24" s="141" customFormat="1" ht="63">
      <c r="A270" s="242" t="s">
        <v>375</v>
      </c>
      <c r="B270" s="243" t="s">
        <v>41</v>
      </c>
      <c r="C270" s="138" t="s">
        <v>376</v>
      </c>
      <c r="D270" s="138"/>
      <c r="E270" s="139"/>
      <c r="F270" s="92" t="s">
        <v>34</v>
      </c>
      <c r="G270" s="140"/>
      <c r="H270" s="140"/>
      <c r="I270" s="138"/>
      <c r="J270" s="138"/>
      <c r="K270" s="138"/>
      <c r="L270" s="92"/>
      <c r="M270" s="74">
        <f>N270+O270+S270+T270+W270+X270</f>
        <v>5000</v>
      </c>
      <c r="N270" s="73">
        <v>0</v>
      </c>
      <c r="O270" s="73">
        <v>0</v>
      </c>
      <c r="P270" s="73">
        <v>0</v>
      </c>
      <c r="Q270" s="92">
        <f>SUM(Q271:Q273)</f>
        <v>5000</v>
      </c>
      <c r="R270" s="73">
        <v>0</v>
      </c>
      <c r="S270" s="73">
        <f>P270+Q270+R270</f>
        <v>5000</v>
      </c>
      <c r="T270" s="73">
        <v>0</v>
      </c>
      <c r="U270" s="73">
        <v>0</v>
      </c>
      <c r="V270" s="73">
        <v>0</v>
      </c>
      <c r="W270" s="73">
        <f>U270+V270</f>
        <v>0</v>
      </c>
      <c r="X270" s="73">
        <v>0</v>
      </c>
    </row>
    <row r="271" spans="1:24" s="141" customFormat="1">
      <c r="A271" s="207"/>
      <c r="B271" s="208" t="s">
        <v>34</v>
      </c>
      <c r="C271" s="209" t="s">
        <v>377</v>
      </c>
      <c r="D271" s="138"/>
      <c r="E271" s="139"/>
      <c r="F271" s="92">
        <f>25*40*2</f>
        <v>2000</v>
      </c>
      <c r="G271" s="140"/>
      <c r="H271" s="140"/>
      <c r="I271" s="138"/>
      <c r="J271" s="138"/>
      <c r="K271" s="138"/>
      <c r="L271" s="92"/>
      <c r="M271" s="92"/>
      <c r="N271" s="92"/>
      <c r="O271" s="92"/>
      <c r="P271" s="92"/>
      <c r="Q271" s="92">
        <f>25*40*2</f>
        <v>2000</v>
      </c>
      <c r="R271" s="92"/>
      <c r="S271" s="92"/>
      <c r="T271" s="92"/>
      <c r="U271" s="92"/>
      <c r="V271" s="92"/>
      <c r="W271" s="92"/>
      <c r="X271" s="92"/>
    </row>
    <row r="272" spans="1:24" s="141" customFormat="1">
      <c r="A272" s="207"/>
      <c r="B272" s="208" t="s">
        <v>34</v>
      </c>
      <c r="C272" s="209" t="s">
        <v>378</v>
      </c>
      <c r="D272" s="138"/>
      <c r="E272" s="139"/>
      <c r="F272" s="92">
        <f>80*40</f>
        <v>3200</v>
      </c>
      <c r="G272" s="140"/>
      <c r="H272" s="140"/>
      <c r="I272" s="138"/>
      <c r="J272" s="138"/>
      <c r="K272" s="138"/>
      <c r="L272" s="92"/>
      <c r="M272" s="92"/>
      <c r="N272" s="92"/>
      <c r="O272" s="92"/>
      <c r="P272" s="92"/>
      <c r="Q272" s="92">
        <f>50*40</f>
        <v>2000</v>
      </c>
      <c r="R272" s="92"/>
      <c r="S272" s="92"/>
      <c r="T272" s="92"/>
      <c r="U272" s="92"/>
      <c r="V272" s="92"/>
      <c r="W272" s="92"/>
      <c r="X272" s="92"/>
    </row>
    <row r="273" spans="1:24" s="141" customFormat="1">
      <c r="A273" s="244"/>
      <c r="B273" s="120"/>
      <c r="C273" s="209" t="s">
        <v>379</v>
      </c>
      <c r="D273" s="138"/>
      <c r="E273" s="139"/>
      <c r="F273" s="92"/>
      <c r="G273" s="140"/>
      <c r="H273" s="140"/>
      <c r="I273" s="138"/>
      <c r="J273" s="138"/>
      <c r="K273" s="138"/>
      <c r="L273" s="92"/>
      <c r="M273" s="92"/>
      <c r="N273" s="92"/>
      <c r="O273" s="92"/>
      <c r="P273" s="92"/>
      <c r="Q273" s="92">
        <v>1000</v>
      </c>
      <c r="R273" s="92"/>
      <c r="S273" s="92"/>
      <c r="T273" s="92"/>
      <c r="U273" s="92"/>
      <c r="V273" s="92"/>
      <c r="W273" s="92"/>
      <c r="X273" s="92"/>
    </row>
    <row r="274" spans="1:24" s="141" customFormat="1" ht="63">
      <c r="A274" s="242" t="s">
        <v>380</v>
      </c>
      <c r="B274" s="243" t="s">
        <v>41</v>
      </c>
      <c r="C274" s="138" t="s">
        <v>381</v>
      </c>
      <c r="D274" s="138"/>
      <c r="E274" s="139"/>
      <c r="F274" s="138"/>
      <c r="G274" s="140"/>
      <c r="H274" s="140"/>
      <c r="I274" s="138"/>
      <c r="J274" s="138"/>
      <c r="K274" s="138"/>
      <c r="L274" s="92"/>
      <c r="M274" s="74">
        <f>N274+O274+S274+T274+W274+X274</f>
        <v>25000</v>
      </c>
      <c r="N274" s="73">
        <v>0</v>
      </c>
      <c r="O274" s="73">
        <v>0</v>
      </c>
      <c r="P274" s="73">
        <v>0</v>
      </c>
      <c r="Q274" s="92">
        <f>SUM(Q275)</f>
        <v>25000</v>
      </c>
      <c r="R274" s="73">
        <v>0</v>
      </c>
      <c r="S274" s="73">
        <f>P274+Q274+R274</f>
        <v>25000</v>
      </c>
      <c r="T274" s="73">
        <v>0</v>
      </c>
      <c r="U274" s="73">
        <v>0</v>
      </c>
      <c r="V274" s="73">
        <v>0</v>
      </c>
      <c r="W274" s="73">
        <f>U274+V274</f>
        <v>0</v>
      </c>
      <c r="X274" s="73">
        <v>0</v>
      </c>
    </row>
    <row r="275" spans="1:24" s="141" customFormat="1" ht="37.5">
      <c r="A275" s="244"/>
      <c r="B275" s="120" t="s">
        <v>34</v>
      </c>
      <c r="C275" s="209" t="s">
        <v>382</v>
      </c>
      <c r="D275" s="138"/>
      <c r="E275" s="139"/>
      <c r="F275" s="138"/>
      <c r="G275" s="140"/>
      <c r="H275" s="140"/>
      <c r="I275" s="138"/>
      <c r="J275" s="138"/>
      <c r="K275" s="138"/>
      <c r="L275" s="92"/>
      <c r="M275" s="92"/>
      <c r="N275" s="92"/>
      <c r="O275" s="92"/>
      <c r="P275" s="92"/>
      <c r="Q275" s="92">
        <v>25000</v>
      </c>
      <c r="R275" s="92"/>
      <c r="S275" s="92"/>
      <c r="T275" s="92"/>
      <c r="U275" s="92"/>
      <c r="V275" s="92"/>
      <c r="W275" s="92"/>
      <c r="X275" s="92"/>
    </row>
    <row r="276" spans="1:24" s="76" customFormat="1" ht="42">
      <c r="A276" s="66" t="s">
        <v>383</v>
      </c>
      <c r="B276" s="67" t="s">
        <v>181</v>
      </c>
      <c r="C276" s="68" t="s">
        <v>384</v>
      </c>
      <c r="D276" s="68"/>
      <c r="E276" s="88"/>
      <c r="F276" s="68"/>
      <c r="G276" s="89"/>
      <c r="H276" s="89"/>
      <c r="I276" s="90"/>
      <c r="J276" s="68"/>
      <c r="K276" s="68"/>
      <c r="L276" s="74"/>
      <c r="M276" s="74">
        <f>N276+O276+S276+T276+W276+X276</f>
        <v>40000</v>
      </c>
      <c r="N276" s="73">
        <v>0</v>
      </c>
      <c r="O276" s="73">
        <v>0</v>
      </c>
      <c r="P276" s="73">
        <v>0</v>
      </c>
      <c r="Q276" s="75">
        <f>SUM(Q277:Q280)</f>
        <v>40000</v>
      </c>
      <c r="R276" s="73">
        <v>0</v>
      </c>
      <c r="S276" s="73">
        <f>P276+Q276+R276</f>
        <v>40000</v>
      </c>
      <c r="T276" s="73">
        <v>0</v>
      </c>
      <c r="U276" s="73">
        <v>0</v>
      </c>
      <c r="V276" s="73">
        <v>0</v>
      </c>
      <c r="W276" s="73">
        <f>U276+V276</f>
        <v>0</v>
      </c>
      <c r="X276" s="73">
        <v>0</v>
      </c>
    </row>
    <row r="277" spans="1:24" s="76" customFormat="1">
      <c r="A277" s="93"/>
      <c r="B277" s="78" t="s">
        <v>34</v>
      </c>
      <c r="C277" s="79" t="s">
        <v>385</v>
      </c>
      <c r="D277" s="68"/>
      <c r="E277" s="88"/>
      <c r="F277" s="68"/>
      <c r="G277" s="89"/>
      <c r="H277" s="89"/>
      <c r="I277" s="90"/>
      <c r="J277" s="68"/>
      <c r="K277" s="68"/>
      <c r="L277" s="74"/>
      <c r="M277" s="74"/>
      <c r="N277" s="74"/>
      <c r="O277" s="75"/>
      <c r="P277" s="75"/>
      <c r="Q277" s="75">
        <f>2*500*5</f>
        <v>5000</v>
      </c>
      <c r="R277" s="75"/>
      <c r="S277" s="75"/>
      <c r="T277" s="75"/>
      <c r="U277" s="75"/>
      <c r="V277" s="73"/>
      <c r="W277" s="73"/>
      <c r="X277" s="73"/>
    </row>
    <row r="278" spans="1:24" s="76" customFormat="1">
      <c r="A278" s="93"/>
      <c r="B278" s="78" t="s">
        <v>34</v>
      </c>
      <c r="C278" s="94" t="s">
        <v>162</v>
      </c>
      <c r="D278" s="68"/>
      <c r="E278" s="88"/>
      <c r="F278" s="68"/>
      <c r="G278" s="89"/>
      <c r="H278" s="89"/>
      <c r="I278" s="90"/>
      <c r="J278" s="68"/>
      <c r="K278" s="68"/>
      <c r="L278" s="74"/>
      <c r="M278" s="74"/>
      <c r="N278" s="74"/>
      <c r="O278" s="75"/>
      <c r="P278" s="75"/>
      <c r="Q278" s="75">
        <v>7500</v>
      </c>
      <c r="R278" s="75"/>
      <c r="S278" s="75"/>
      <c r="T278" s="75"/>
      <c r="U278" s="75"/>
      <c r="V278" s="73"/>
      <c r="W278" s="73"/>
      <c r="X278" s="73"/>
    </row>
    <row r="279" spans="1:24" s="76" customFormat="1">
      <c r="A279" s="93"/>
      <c r="B279" s="78" t="s">
        <v>34</v>
      </c>
      <c r="C279" s="94" t="s">
        <v>386</v>
      </c>
      <c r="D279" s="68"/>
      <c r="E279" s="88"/>
      <c r="F279" s="68"/>
      <c r="G279" s="89"/>
      <c r="H279" s="89"/>
      <c r="I279" s="90"/>
      <c r="J279" s="68"/>
      <c r="K279" s="68"/>
      <c r="L279" s="74"/>
      <c r="M279" s="74"/>
      <c r="N279" s="74"/>
      <c r="O279" s="75"/>
      <c r="P279" s="75"/>
      <c r="Q279" s="75">
        <f>250*2*35</f>
        <v>17500</v>
      </c>
      <c r="R279" s="75"/>
      <c r="S279" s="75"/>
      <c r="T279" s="75"/>
      <c r="U279" s="75"/>
      <c r="V279" s="73"/>
      <c r="W279" s="73"/>
      <c r="X279" s="73"/>
    </row>
    <row r="280" spans="1:24" s="76" customFormat="1">
      <c r="A280" s="95"/>
      <c r="B280" s="68" t="s">
        <v>34</v>
      </c>
      <c r="C280" s="94" t="s">
        <v>387</v>
      </c>
      <c r="D280" s="68"/>
      <c r="E280" s="88"/>
      <c r="F280" s="68"/>
      <c r="G280" s="89"/>
      <c r="H280" s="89"/>
      <c r="I280" s="90"/>
      <c r="J280" s="68"/>
      <c r="K280" s="68"/>
      <c r="L280" s="74"/>
      <c r="M280" s="74"/>
      <c r="N280" s="74"/>
      <c r="O280" s="75"/>
      <c r="P280" s="75"/>
      <c r="Q280" s="75">
        <f>250*2*20</f>
        <v>10000</v>
      </c>
      <c r="R280" s="75"/>
      <c r="S280" s="75"/>
      <c r="T280" s="75"/>
      <c r="U280" s="75"/>
      <c r="V280" s="73"/>
      <c r="W280" s="73"/>
      <c r="X280" s="73"/>
    </row>
    <row r="281" spans="1:24" s="76" customFormat="1" ht="84">
      <c r="A281" s="66" t="s">
        <v>388</v>
      </c>
      <c r="B281" s="118" t="s">
        <v>45</v>
      </c>
      <c r="C281" s="115" t="s">
        <v>389</v>
      </c>
      <c r="D281" s="115"/>
      <c r="E281" s="245"/>
      <c r="F281" s="115"/>
      <c r="G281" s="90"/>
      <c r="H281" s="90"/>
      <c r="I281" s="115"/>
      <c r="J281" s="115"/>
      <c r="K281" s="115"/>
      <c r="L281" s="73"/>
      <c r="M281" s="74">
        <f>N281+O281+S281+T281+W281+X281</f>
        <v>10000</v>
      </c>
      <c r="N281" s="73">
        <v>0</v>
      </c>
      <c r="O281" s="73">
        <v>0</v>
      </c>
      <c r="P281" s="73">
        <v>0</v>
      </c>
      <c r="Q281" s="73">
        <f>SUM(Q282)</f>
        <v>10000</v>
      </c>
      <c r="R281" s="73">
        <v>0</v>
      </c>
      <c r="S281" s="73">
        <f>P281+Q281+R281</f>
        <v>10000</v>
      </c>
      <c r="T281" s="73">
        <v>0</v>
      </c>
      <c r="U281" s="73">
        <v>0</v>
      </c>
      <c r="V281" s="73">
        <v>0</v>
      </c>
      <c r="W281" s="73">
        <f>U281+V281</f>
        <v>0</v>
      </c>
      <c r="X281" s="73">
        <v>0</v>
      </c>
    </row>
    <row r="282" spans="1:24" s="76" customFormat="1" ht="37.5">
      <c r="A282" s="95"/>
      <c r="B282" s="68" t="s">
        <v>34</v>
      </c>
      <c r="C282" s="109" t="s">
        <v>355</v>
      </c>
      <c r="D282" s="78"/>
      <c r="E282" s="110"/>
      <c r="F282" s="78"/>
      <c r="G282" s="106"/>
      <c r="H282" s="106"/>
      <c r="I282" s="107"/>
      <c r="J282" s="78"/>
      <c r="K282" s="78"/>
      <c r="L282" s="111"/>
      <c r="M282" s="111"/>
      <c r="N282" s="111"/>
      <c r="O282" s="112"/>
      <c r="P282" s="112"/>
      <c r="Q282" s="112">
        <v>10000</v>
      </c>
      <c r="R282" s="112"/>
      <c r="S282" s="112"/>
      <c r="T282" s="112"/>
      <c r="U282" s="112"/>
      <c r="V282" s="113"/>
      <c r="W282" s="113"/>
      <c r="X282" s="113"/>
    </row>
    <row r="283" spans="1:24" s="117" customFormat="1" ht="42">
      <c r="A283" s="66" t="s">
        <v>390</v>
      </c>
      <c r="B283" s="118" t="s">
        <v>128</v>
      </c>
      <c r="C283" s="115" t="s">
        <v>391</v>
      </c>
      <c r="D283" s="115"/>
      <c r="E283" s="115"/>
      <c r="F283" s="115"/>
      <c r="G283" s="115"/>
      <c r="H283" s="115"/>
      <c r="I283" s="115"/>
      <c r="J283" s="115"/>
      <c r="K283" s="115"/>
      <c r="L283" s="115"/>
      <c r="M283" s="99">
        <f>N283+O283+S283+T283+W283+X283</f>
        <v>80000</v>
      </c>
      <c r="N283" s="73">
        <v>0</v>
      </c>
      <c r="O283" s="73">
        <v>0</v>
      </c>
      <c r="P283" s="73">
        <v>0</v>
      </c>
      <c r="Q283" s="246">
        <f>SUM(Q284)</f>
        <v>80000</v>
      </c>
      <c r="R283" s="73">
        <v>0</v>
      </c>
      <c r="S283" s="73">
        <f>P283+Q283+R283</f>
        <v>80000</v>
      </c>
      <c r="T283" s="73">
        <v>0</v>
      </c>
      <c r="U283" s="73">
        <v>0</v>
      </c>
      <c r="V283" s="73">
        <v>0</v>
      </c>
      <c r="W283" s="73">
        <f>U283+V283</f>
        <v>0</v>
      </c>
      <c r="X283" s="73">
        <v>0</v>
      </c>
    </row>
    <row r="284" spans="1:24" s="76" customFormat="1">
      <c r="A284" s="95"/>
      <c r="B284" s="68" t="s">
        <v>34</v>
      </c>
      <c r="C284" s="160" t="s">
        <v>392</v>
      </c>
      <c r="D284" s="96"/>
      <c r="E284" s="96"/>
      <c r="F284" s="96"/>
      <c r="G284" s="98"/>
      <c r="H284" s="98"/>
      <c r="I284" s="90"/>
      <c r="J284" s="96"/>
      <c r="K284" s="96"/>
      <c r="L284" s="99"/>
      <c r="M284" s="99"/>
      <c r="N284" s="99"/>
      <c r="O284" s="102"/>
      <c r="P284" s="102"/>
      <c r="Q284" s="102">
        <f>2000*40</f>
        <v>80000</v>
      </c>
      <c r="R284" s="102"/>
      <c r="S284" s="102"/>
      <c r="T284" s="102"/>
      <c r="U284" s="102"/>
      <c r="V284" s="73"/>
      <c r="W284" s="73"/>
      <c r="X284" s="73"/>
    </row>
    <row r="285" spans="1:24" s="117" customFormat="1" ht="42">
      <c r="A285" s="66" t="s">
        <v>393</v>
      </c>
      <c r="B285" s="118" t="s">
        <v>128</v>
      </c>
      <c r="C285" s="115" t="s">
        <v>394</v>
      </c>
      <c r="D285" s="115"/>
      <c r="E285" s="115"/>
      <c r="F285" s="115"/>
      <c r="G285" s="115"/>
      <c r="H285" s="115"/>
      <c r="I285" s="115"/>
      <c r="J285" s="115"/>
      <c r="K285" s="115"/>
      <c r="L285" s="115"/>
      <c r="M285" s="99">
        <f>N285+O285+S285+T285+W285+X285</f>
        <v>27000</v>
      </c>
      <c r="N285" s="73">
        <v>0</v>
      </c>
      <c r="O285" s="73">
        <v>0</v>
      </c>
      <c r="P285" s="73">
        <v>0</v>
      </c>
      <c r="Q285" s="73">
        <f>SUM(Q286:Q287)</f>
        <v>27000</v>
      </c>
      <c r="R285" s="73">
        <v>0</v>
      </c>
      <c r="S285" s="73">
        <f>P285+Q285+R285</f>
        <v>27000</v>
      </c>
      <c r="T285" s="73">
        <v>0</v>
      </c>
      <c r="U285" s="73">
        <v>0</v>
      </c>
      <c r="V285" s="73">
        <v>0</v>
      </c>
      <c r="W285" s="73">
        <f>U285+V285</f>
        <v>0</v>
      </c>
      <c r="X285" s="73">
        <v>0</v>
      </c>
    </row>
    <row r="286" spans="1:24" s="117" customFormat="1">
      <c r="A286" s="105"/>
      <c r="B286" s="247" t="s">
        <v>34</v>
      </c>
      <c r="C286" s="248" t="s">
        <v>395</v>
      </c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>
        <f>25*30*12</f>
        <v>9000</v>
      </c>
      <c r="R286" s="115"/>
      <c r="S286" s="115"/>
      <c r="T286" s="115"/>
      <c r="U286" s="115"/>
      <c r="V286" s="115"/>
      <c r="W286" s="115"/>
      <c r="X286" s="115"/>
    </row>
    <row r="287" spans="1:24" s="117" customFormat="1">
      <c r="A287" s="108"/>
      <c r="B287" s="119" t="s">
        <v>34</v>
      </c>
      <c r="C287" s="248" t="s">
        <v>396</v>
      </c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>
        <f>50*30*12</f>
        <v>18000</v>
      </c>
      <c r="R287" s="115"/>
      <c r="S287" s="115"/>
      <c r="T287" s="115"/>
      <c r="U287" s="115"/>
      <c r="V287" s="115"/>
      <c r="W287" s="115"/>
      <c r="X287" s="115"/>
    </row>
    <row r="288" spans="1:24" s="76" customFormat="1" ht="42.75" customHeight="1">
      <c r="A288" s="66" t="s">
        <v>397</v>
      </c>
      <c r="B288" s="67" t="s">
        <v>55</v>
      </c>
      <c r="C288" s="68" t="s">
        <v>398</v>
      </c>
      <c r="D288" s="68"/>
      <c r="E288" s="88"/>
      <c r="F288" s="68"/>
      <c r="G288" s="89"/>
      <c r="H288" s="89"/>
      <c r="I288" s="108" t="s">
        <v>57</v>
      </c>
      <c r="J288" s="68"/>
      <c r="K288" s="68"/>
      <c r="L288" s="74"/>
      <c r="M288" s="99">
        <f>N288+O288+S288+T288+W288+X288</f>
        <v>50000</v>
      </c>
      <c r="N288" s="73">
        <v>0</v>
      </c>
      <c r="O288" s="73">
        <v>0</v>
      </c>
      <c r="P288" s="73">
        <v>0</v>
      </c>
      <c r="Q288" s="75">
        <f>SUM(Q289)</f>
        <v>50000</v>
      </c>
      <c r="R288" s="73">
        <v>0</v>
      </c>
      <c r="S288" s="73">
        <f>P288+Q288+R288</f>
        <v>50000</v>
      </c>
      <c r="T288" s="73">
        <v>0</v>
      </c>
      <c r="U288" s="73">
        <v>0</v>
      </c>
      <c r="V288" s="73">
        <v>0</v>
      </c>
      <c r="W288" s="73">
        <f>U288+V288</f>
        <v>0</v>
      </c>
      <c r="X288" s="73">
        <v>0</v>
      </c>
    </row>
    <row r="289" spans="1:24" s="117" customFormat="1" ht="37.5">
      <c r="A289" s="108"/>
      <c r="B289" s="119" t="s">
        <v>34</v>
      </c>
      <c r="C289" s="248" t="s">
        <v>399</v>
      </c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73">
        <v>50000</v>
      </c>
      <c r="R289" s="115"/>
      <c r="S289" s="115"/>
      <c r="T289" s="115"/>
      <c r="U289" s="115"/>
      <c r="V289" s="115"/>
      <c r="W289" s="115"/>
      <c r="X289" s="115"/>
    </row>
    <row r="290" spans="1:24" s="76" customFormat="1" ht="25.5" customHeight="1">
      <c r="A290" s="66" t="s">
        <v>400</v>
      </c>
      <c r="B290" s="1385" t="s">
        <v>101</v>
      </c>
      <c r="C290" s="68" t="s">
        <v>401</v>
      </c>
      <c r="D290" s="68"/>
      <c r="E290" s="88"/>
      <c r="F290" s="68"/>
      <c r="G290" s="89"/>
      <c r="H290" s="89"/>
      <c r="I290" s="90" t="s">
        <v>57</v>
      </c>
      <c r="J290" s="68"/>
      <c r="K290" s="68"/>
      <c r="L290" s="74"/>
      <c r="M290" s="99">
        <f>N290+O290+S290+T290+W290+X290</f>
        <v>40000</v>
      </c>
      <c r="N290" s="73">
        <v>0</v>
      </c>
      <c r="O290" s="73">
        <v>0</v>
      </c>
      <c r="P290" s="73">
        <v>0</v>
      </c>
      <c r="Q290" s="75">
        <f>SUM(Q291)</f>
        <v>40000</v>
      </c>
      <c r="R290" s="73">
        <v>0</v>
      </c>
      <c r="S290" s="73">
        <f>P290+Q290+R290</f>
        <v>40000</v>
      </c>
      <c r="T290" s="73">
        <v>0</v>
      </c>
      <c r="U290" s="73">
        <v>0</v>
      </c>
      <c r="V290" s="73">
        <v>0</v>
      </c>
      <c r="W290" s="73">
        <f>U290+V290</f>
        <v>0</v>
      </c>
      <c r="X290" s="73">
        <v>0</v>
      </c>
    </row>
    <row r="291" spans="1:24" s="117" customFormat="1" ht="37.5">
      <c r="A291" s="108"/>
      <c r="B291" s="1386"/>
      <c r="C291" s="248" t="s">
        <v>402</v>
      </c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73">
        <v>40000</v>
      </c>
      <c r="R291" s="115"/>
      <c r="S291" s="115"/>
      <c r="T291" s="115"/>
      <c r="U291" s="115"/>
      <c r="V291" s="115"/>
      <c r="W291" s="115"/>
      <c r="X291" s="115"/>
    </row>
    <row r="292" spans="1:24" s="76" customFormat="1" ht="52.5" customHeight="1">
      <c r="A292" s="66" t="s">
        <v>403</v>
      </c>
      <c r="B292" s="308" t="s">
        <v>101</v>
      </c>
      <c r="C292" s="68" t="s">
        <v>404</v>
      </c>
      <c r="D292" s="68"/>
      <c r="E292" s="88"/>
      <c r="F292" s="68"/>
      <c r="G292" s="89"/>
      <c r="H292" s="89"/>
      <c r="I292" s="90" t="s">
        <v>57</v>
      </c>
      <c r="J292" s="68"/>
      <c r="K292" s="68"/>
      <c r="L292" s="74"/>
      <c r="M292" s="99">
        <f>N292+O292+S292+T292+W292+X292</f>
        <v>10000</v>
      </c>
      <c r="N292" s="73">
        <v>0</v>
      </c>
      <c r="O292" s="73">
        <v>0</v>
      </c>
      <c r="P292" s="73">
        <v>0</v>
      </c>
      <c r="Q292" s="75">
        <f>SUM(Q293)</f>
        <v>10000</v>
      </c>
      <c r="R292" s="73">
        <v>0</v>
      </c>
      <c r="S292" s="73">
        <f>P292+Q292+R292</f>
        <v>10000</v>
      </c>
      <c r="T292" s="73">
        <v>0</v>
      </c>
      <c r="U292" s="73">
        <v>0</v>
      </c>
      <c r="V292" s="73">
        <v>0</v>
      </c>
      <c r="W292" s="73">
        <f>U292+V292</f>
        <v>0</v>
      </c>
      <c r="X292" s="73">
        <v>0</v>
      </c>
    </row>
    <row r="293" spans="1:24" s="117" customFormat="1" ht="37.5">
      <c r="A293" s="108"/>
      <c r="B293" s="119" t="s">
        <v>34</v>
      </c>
      <c r="C293" s="248" t="s">
        <v>402</v>
      </c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73">
        <v>10000</v>
      </c>
      <c r="R293" s="115"/>
      <c r="S293" s="115"/>
      <c r="T293" s="115"/>
      <c r="U293" s="115"/>
      <c r="V293" s="115"/>
      <c r="W293" s="115"/>
      <c r="X293" s="115"/>
    </row>
    <row r="294" spans="1:24" s="76" customFormat="1" ht="51.75" customHeight="1">
      <c r="A294" s="66" t="s">
        <v>405</v>
      </c>
      <c r="B294" s="308" t="s">
        <v>101</v>
      </c>
      <c r="C294" s="68" t="s">
        <v>406</v>
      </c>
      <c r="D294" s="68"/>
      <c r="E294" s="88"/>
      <c r="F294" s="68"/>
      <c r="G294" s="89"/>
      <c r="H294" s="89"/>
      <c r="I294" s="90" t="s">
        <v>57</v>
      </c>
      <c r="J294" s="68"/>
      <c r="K294" s="68"/>
      <c r="L294" s="74"/>
      <c r="M294" s="99">
        <f>N294+O294+S294+T294+W294+X294</f>
        <v>46500</v>
      </c>
      <c r="N294" s="73">
        <v>0</v>
      </c>
      <c r="O294" s="73">
        <v>0</v>
      </c>
      <c r="P294" s="73">
        <v>0</v>
      </c>
      <c r="Q294" s="75">
        <f>SUM(Q295)</f>
        <v>46500</v>
      </c>
      <c r="R294" s="73">
        <v>0</v>
      </c>
      <c r="S294" s="73">
        <f>P294+Q294+R294</f>
        <v>46500</v>
      </c>
      <c r="T294" s="73">
        <v>0</v>
      </c>
      <c r="U294" s="73">
        <v>0</v>
      </c>
      <c r="V294" s="73">
        <v>0</v>
      </c>
      <c r="W294" s="73">
        <f>U294+V294</f>
        <v>0</v>
      </c>
      <c r="X294" s="73">
        <v>0</v>
      </c>
    </row>
    <row r="295" spans="1:24" s="117" customFormat="1" ht="37.5">
      <c r="A295" s="108"/>
      <c r="B295" s="119" t="s">
        <v>34</v>
      </c>
      <c r="C295" s="248" t="s">
        <v>402</v>
      </c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73">
        <v>46500</v>
      </c>
      <c r="R295" s="115"/>
      <c r="S295" s="115"/>
      <c r="T295" s="115"/>
      <c r="U295" s="115"/>
      <c r="V295" s="115"/>
      <c r="W295" s="115"/>
      <c r="X295" s="115"/>
    </row>
    <row r="296" spans="1:24" s="141" customFormat="1" ht="42">
      <c r="A296" s="249" t="s">
        <v>407</v>
      </c>
      <c r="B296" s="250" t="s">
        <v>357</v>
      </c>
      <c r="C296" s="250" t="s">
        <v>408</v>
      </c>
      <c r="D296" s="199"/>
      <c r="E296" s="200"/>
      <c r="F296" s="199"/>
      <c r="G296" s="201"/>
      <c r="H296" s="201"/>
      <c r="I296" s="54"/>
      <c r="J296" s="199"/>
      <c r="K296" s="199"/>
      <c r="L296" s="202"/>
      <c r="M296" s="100">
        <f>M309</f>
        <v>415000</v>
      </c>
      <c r="N296" s="100"/>
      <c r="O296" s="101"/>
      <c r="P296" s="101"/>
      <c r="Q296" s="101"/>
      <c r="R296" s="101"/>
      <c r="S296" s="101"/>
      <c r="T296" s="101"/>
      <c r="U296" s="101"/>
      <c r="V296" s="92"/>
      <c r="W296" s="92"/>
      <c r="X296" s="92"/>
    </row>
    <row r="297" spans="1:24" s="141" customFormat="1" ht="63">
      <c r="A297" s="251" t="s">
        <v>409</v>
      </c>
      <c r="B297" s="69" t="s">
        <v>357</v>
      </c>
      <c r="C297" s="69" t="s">
        <v>410</v>
      </c>
      <c r="D297" s="189"/>
      <c r="E297" s="252"/>
      <c r="F297" s="189"/>
      <c r="G297" s="253"/>
      <c r="H297" s="254"/>
      <c r="I297" s="255"/>
      <c r="J297" s="189"/>
      <c r="K297" s="189"/>
      <c r="L297" s="256"/>
      <c r="M297" s="72">
        <f>M327</f>
        <v>30000</v>
      </c>
      <c r="N297" s="72"/>
      <c r="O297" s="91"/>
      <c r="P297" s="91"/>
      <c r="Q297" s="91"/>
      <c r="R297" s="91"/>
      <c r="S297" s="91"/>
      <c r="T297" s="91"/>
      <c r="U297" s="91"/>
      <c r="V297" s="122"/>
      <c r="W297" s="122"/>
      <c r="X297" s="122"/>
    </row>
    <row r="298" spans="1:24" s="141" customFormat="1" ht="63">
      <c r="A298" s="249" t="s">
        <v>411</v>
      </c>
      <c r="B298" s="69" t="s">
        <v>357</v>
      </c>
      <c r="C298" s="69" t="s">
        <v>412</v>
      </c>
      <c r="D298" s="189"/>
      <c r="E298" s="252"/>
      <c r="F298" s="189"/>
      <c r="G298" s="253"/>
      <c r="H298" s="253"/>
      <c r="I298" s="54"/>
      <c r="J298" s="189"/>
      <c r="K298" s="189"/>
      <c r="L298" s="256"/>
      <c r="M298" s="72">
        <f>M357+M362</f>
        <v>320000</v>
      </c>
      <c r="N298" s="72"/>
      <c r="O298" s="91"/>
      <c r="P298" s="91"/>
      <c r="Q298" s="91"/>
      <c r="R298" s="91"/>
      <c r="S298" s="91"/>
      <c r="T298" s="91"/>
      <c r="U298" s="91"/>
      <c r="V298" s="92"/>
      <c r="W298" s="92"/>
      <c r="X298" s="92"/>
    </row>
    <row r="299" spans="1:24" s="141" customFormat="1" ht="63">
      <c r="A299" s="251" t="s">
        <v>413</v>
      </c>
      <c r="B299" s="69" t="s">
        <v>41</v>
      </c>
      <c r="C299" s="69" t="s">
        <v>414</v>
      </c>
      <c r="D299" s="189"/>
      <c r="E299" s="252"/>
      <c r="F299" s="189"/>
      <c r="G299" s="253"/>
      <c r="H299" s="253"/>
      <c r="I299" s="257"/>
      <c r="J299" s="189"/>
      <c r="K299" s="189"/>
      <c r="L299" s="256"/>
      <c r="M299" s="72">
        <v>420000</v>
      </c>
      <c r="N299" s="72"/>
      <c r="O299" s="91"/>
      <c r="P299" s="91"/>
      <c r="Q299" s="91"/>
      <c r="R299" s="91"/>
      <c r="S299" s="91"/>
      <c r="T299" s="91"/>
      <c r="U299" s="91"/>
      <c r="V299" s="122"/>
      <c r="W299" s="122"/>
      <c r="X299" s="122"/>
    </row>
    <row r="300" spans="1:24" s="263" customFormat="1" ht="31.5">
      <c r="A300" s="258" t="s">
        <v>415</v>
      </c>
      <c r="B300" s="259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32">
        <f>M301+M308</f>
        <v>4221000</v>
      </c>
      <c r="N300" s="259"/>
      <c r="O300" s="259"/>
      <c r="P300" s="260"/>
      <c r="Q300" s="260"/>
      <c r="R300" s="260"/>
      <c r="S300" s="260"/>
      <c r="T300" s="260"/>
      <c r="U300" s="260"/>
      <c r="V300" s="260"/>
      <c r="W300" s="260"/>
      <c r="X300" s="262"/>
    </row>
    <row r="301" spans="1:24" s="179" customFormat="1" ht="23.25">
      <c r="A301" s="175" t="s">
        <v>416</v>
      </c>
      <c r="B301" s="176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264">
        <f>SUM(M302:M307)</f>
        <v>3806000</v>
      </c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</row>
    <row r="302" spans="1:24" s="76" customFormat="1" ht="66">
      <c r="A302" s="66" t="s">
        <v>417</v>
      </c>
      <c r="B302" s="315" t="s">
        <v>89</v>
      </c>
      <c r="C302" s="68" t="s">
        <v>418</v>
      </c>
      <c r="D302" s="74"/>
      <c r="E302" s="88"/>
      <c r="F302" s="68"/>
      <c r="G302" s="89"/>
      <c r="H302" s="89"/>
      <c r="I302" s="90"/>
      <c r="J302" s="68"/>
      <c r="K302" s="68"/>
      <c r="L302" s="74"/>
      <c r="M302" s="74">
        <v>1193500</v>
      </c>
      <c r="N302" s="74" t="s">
        <v>34</v>
      </c>
      <c r="O302" s="75"/>
      <c r="P302" s="75"/>
      <c r="Q302" s="75"/>
      <c r="R302" s="75"/>
      <c r="S302" s="75"/>
      <c r="T302" s="75"/>
      <c r="U302" s="75"/>
      <c r="V302" s="73"/>
      <c r="W302" s="73"/>
      <c r="X302" s="73"/>
    </row>
    <row r="303" spans="1:24" s="76" customFormat="1" ht="84">
      <c r="A303" s="114" t="s">
        <v>419</v>
      </c>
      <c r="B303" s="96" t="s">
        <v>45</v>
      </c>
      <c r="C303" s="96" t="s">
        <v>420</v>
      </c>
      <c r="D303" s="99"/>
      <c r="E303" s="97"/>
      <c r="F303" s="96"/>
      <c r="G303" s="98"/>
      <c r="H303" s="98"/>
      <c r="I303" s="90"/>
      <c r="J303" s="96"/>
      <c r="K303" s="96"/>
      <c r="L303" s="99"/>
      <c r="M303" s="99">
        <v>1321100</v>
      </c>
      <c r="N303" s="99"/>
      <c r="O303" s="102"/>
      <c r="P303" s="102"/>
      <c r="Q303" s="102"/>
      <c r="R303" s="102"/>
      <c r="S303" s="102"/>
      <c r="T303" s="102"/>
      <c r="U303" s="102"/>
      <c r="V303" s="73"/>
      <c r="W303" s="73"/>
      <c r="X303" s="73"/>
    </row>
    <row r="304" spans="1:24" s="76" customFormat="1" ht="66">
      <c r="A304" s="66" t="s">
        <v>421</v>
      </c>
      <c r="B304" s="315" t="s">
        <v>89</v>
      </c>
      <c r="C304" s="68" t="s">
        <v>422</v>
      </c>
      <c r="D304" s="74"/>
      <c r="E304" s="88"/>
      <c r="F304" s="68"/>
      <c r="G304" s="89"/>
      <c r="H304" s="89"/>
      <c r="I304" s="90"/>
      <c r="J304" s="68"/>
      <c r="K304" s="68"/>
      <c r="L304" s="74"/>
      <c r="M304" s="74">
        <v>368500</v>
      </c>
      <c r="N304" s="74"/>
      <c r="O304" s="75"/>
      <c r="P304" s="75"/>
      <c r="Q304" s="75"/>
      <c r="R304" s="75"/>
      <c r="S304" s="75"/>
      <c r="T304" s="75"/>
      <c r="U304" s="75"/>
      <c r="V304" s="73"/>
      <c r="W304" s="73"/>
      <c r="X304" s="73"/>
    </row>
    <row r="305" spans="1:24" s="76" customFormat="1" ht="66">
      <c r="A305" s="66" t="s">
        <v>423</v>
      </c>
      <c r="B305" s="315" t="s">
        <v>89</v>
      </c>
      <c r="C305" s="68" t="s">
        <v>424</v>
      </c>
      <c r="D305" s="74"/>
      <c r="E305" s="88"/>
      <c r="F305" s="68"/>
      <c r="G305" s="89"/>
      <c r="H305" s="89"/>
      <c r="I305" s="90"/>
      <c r="J305" s="68"/>
      <c r="K305" s="68"/>
      <c r="L305" s="74"/>
      <c r="M305" s="74">
        <v>312400</v>
      </c>
      <c r="N305" s="74"/>
      <c r="O305" s="75"/>
      <c r="P305" s="75"/>
      <c r="Q305" s="75"/>
      <c r="R305" s="75"/>
      <c r="S305" s="75"/>
      <c r="T305" s="75"/>
      <c r="U305" s="75"/>
      <c r="V305" s="73"/>
      <c r="W305" s="73"/>
      <c r="X305" s="73"/>
    </row>
    <row r="306" spans="1:24" s="76" customFormat="1" ht="66">
      <c r="A306" s="66" t="s">
        <v>425</v>
      </c>
      <c r="B306" s="315" t="s">
        <v>89</v>
      </c>
      <c r="C306" s="68" t="s">
        <v>426</v>
      </c>
      <c r="D306" s="74"/>
      <c r="E306" s="88"/>
      <c r="F306" s="68"/>
      <c r="G306" s="89"/>
      <c r="H306" s="89"/>
      <c r="I306" s="90"/>
      <c r="J306" s="68"/>
      <c r="K306" s="68"/>
      <c r="L306" s="74"/>
      <c r="M306" s="74">
        <v>336600</v>
      </c>
      <c r="N306" s="74"/>
      <c r="O306" s="75"/>
      <c r="P306" s="75"/>
      <c r="Q306" s="75"/>
      <c r="R306" s="75"/>
      <c r="S306" s="75"/>
      <c r="T306" s="75"/>
      <c r="U306" s="75"/>
      <c r="V306" s="73"/>
      <c r="W306" s="73"/>
      <c r="X306" s="73"/>
    </row>
    <row r="307" spans="1:24" s="76" customFormat="1" ht="42">
      <c r="A307" s="66" t="s">
        <v>427</v>
      </c>
      <c r="B307" s="68" t="s">
        <v>45</v>
      </c>
      <c r="C307" s="68" t="s">
        <v>428</v>
      </c>
      <c r="D307" s="74"/>
      <c r="E307" s="88"/>
      <c r="F307" s="68"/>
      <c r="G307" s="89"/>
      <c r="H307" s="89"/>
      <c r="I307" s="90"/>
      <c r="J307" s="68"/>
      <c r="K307" s="68"/>
      <c r="L307" s="74"/>
      <c r="M307" s="74">
        <v>273900</v>
      </c>
      <c r="N307" s="74"/>
      <c r="O307" s="75"/>
      <c r="P307" s="75"/>
      <c r="Q307" s="75"/>
      <c r="R307" s="75"/>
      <c r="S307" s="75"/>
      <c r="T307" s="75"/>
      <c r="U307" s="75"/>
      <c r="V307" s="73"/>
      <c r="W307" s="73"/>
      <c r="X307" s="73"/>
    </row>
    <row r="308" spans="1:24" s="179" customFormat="1" ht="23.25">
      <c r="A308" s="175" t="s">
        <v>429</v>
      </c>
      <c r="B308" s="176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178">
        <f>SUM(M309)</f>
        <v>415000</v>
      </c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</row>
    <row r="309" spans="1:24" s="159" customFormat="1" ht="42.75" customHeight="1">
      <c r="A309" s="265" t="s">
        <v>34</v>
      </c>
      <c r="B309" s="151" t="s">
        <v>357</v>
      </c>
      <c r="C309" s="151" t="s">
        <v>430</v>
      </c>
      <c r="D309" s="151"/>
      <c r="E309" s="152"/>
      <c r="F309" s="151"/>
      <c r="G309" s="153"/>
      <c r="H309" s="153"/>
      <c r="I309" s="154" t="s">
        <v>57</v>
      </c>
      <c r="J309" s="151"/>
      <c r="K309" s="151"/>
      <c r="L309" s="155"/>
      <c r="M309" s="266">
        <f>SUM(M310:M314)</f>
        <v>415000</v>
      </c>
      <c r="N309" s="158" t="s">
        <v>34</v>
      </c>
      <c r="O309" s="158">
        <v>0</v>
      </c>
      <c r="P309" s="158">
        <v>0</v>
      </c>
      <c r="Q309" s="158">
        <v>0</v>
      </c>
      <c r="R309" s="158">
        <v>0</v>
      </c>
      <c r="S309" s="158">
        <f>P309+Q309+R309</f>
        <v>0</v>
      </c>
      <c r="T309" s="158">
        <v>0</v>
      </c>
      <c r="U309" s="158">
        <v>0</v>
      </c>
      <c r="V309" s="158">
        <v>0</v>
      </c>
      <c r="W309" s="158">
        <f>U309+V309</f>
        <v>0</v>
      </c>
      <c r="X309" s="158">
        <v>770000</v>
      </c>
    </row>
    <row r="310" spans="1:24" s="76" customFormat="1" ht="63">
      <c r="A310" s="66" t="s">
        <v>431</v>
      </c>
      <c r="B310" s="68" t="s">
        <v>357</v>
      </c>
      <c r="C310" s="115" t="s">
        <v>432</v>
      </c>
      <c r="D310" s="115"/>
      <c r="E310" s="245"/>
      <c r="F310" s="115"/>
      <c r="G310" s="90"/>
      <c r="H310" s="90"/>
      <c r="I310" s="115"/>
      <c r="J310" s="115"/>
      <c r="K310" s="115"/>
      <c r="L310" s="73"/>
      <c r="M310" s="73">
        <v>100000</v>
      </c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</row>
    <row r="311" spans="1:24" s="76" customFormat="1" ht="63">
      <c r="A311" s="66" t="s">
        <v>433</v>
      </c>
      <c r="B311" s="68" t="s">
        <v>357</v>
      </c>
      <c r="C311" s="115" t="s">
        <v>434</v>
      </c>
      <c r="D311" s="115"/>
      <c r="E311" s="245"/>
      <c r="F311" s="115"/>
      <c r="G311" s="90"/>
      <c r="H311" s="90"/>
      <c r="I311" s="115"/>
      <c r="J311" s="115"/>
      <c r="K311" s="115"/>
      <c r="L311" s="73"/>
      <c r="M311" s="73">
        <v>80000</v>
      </c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</row>
    <row r="312" spans="1:24" s="76" customFormat="1" ht="42">
      <c r="A312" s="114" t="s">
        <v>435</v>
      </c>
      <c r="B312" s="96" t="s">
        <v>357</v>
      </c>
      <c r="C312" s="115" t="s">
        <v>436</v>
      </c>
      <c r="D312" s="115"/>
      <c r="E312" s="245"/>
      <c r="F312" s="115"/>
      <c r="G312" s="90"/>
      <c r="H312" s="90"/>
      <c r="I312" s="115"/>
      <c r="J312" s="115"/>
      <c r="K312" s="115"/>
      <c r="L312" s="73"/>
      <c r="M312" s="73">
        <v>30000</v>
      </c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</row>
    <row r="313" spans="1:24" s="76" customFormat="1" ht="63">
      <c r="A313" s="66" t="s">
        <v>437</v>
      </c>
      <c r="B313" s="68" t="s">
        <v>357</v>
      </c>
      <c r="C313" s="115" t="s">
        <v>438</v>
      </c>
      <c r="D313" s="115"/>
      <c r="E313" s="245"/>
      <c r="F313" s="115"/>
      <c r="G313" s="90"/>
      <c r="H313" s="90"/>
      <c r="I313" s="115"/>
      <c r="J313" s="115"/>
      <c r="K313" s="115"/>
      <c r="L313" s="73"/>
      <c r="M313" s="73">
        <v>5000</v>
      </c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</row>
    <row r="314" spans="1:24" s="76" customFormat="1" ht="42">
      <c r="A314" s="66" t="s">
        <v>437</v>
      </c>
      <c r="B314" s="68" t="s">
        <v>357</v>
      </c>
      <c r="C314" s="115" t="s">
        <v>439</v>
      </c>
      <c r="D314" s="115"/>
      <c r="E314" s="245"/>
      <c r="F314" s="115"/>
      <c r="G314" s="90"/>
      <c r="H314" s="90"/>
      <c r="I314" s="115"/>
      <c r="J314" s="115"/>
      <c r="K314" s="115"/>
      <c r="L314" s="73"/>
      <c r="M314" s="73">
        <v>200000</v>
      </c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</row>
    <row r="315" spans="1:24" s="263" customFormat="1" ht="31.5">
      <c r="A315" s="258" t="s">
        <v>440</v>
      </c>
      <c r="B315" s="259"/>
      <c r="C315" s="260"/>
      <c r="D315" s="260"/>
      <c r="E315" s="260"/>
      <c r="F315" s="260"/>
      <c r="G315" s="260"/>
      <c r="H315" s="260"/>
      <c r="I315" s="260"/>
      <c r="J315" s="260"/>
      <c r="K315" s="260"/>
      <c r="L315" s="260"/>
      <c r="M315" s="261">
        <f>M316+M327</f>
        <v>1917700</v>
      </c>
      <c r="N315" s="259"/>
      <c r="O315" s="259"/>
      <c r="P315" s="260"/>
      <c r="Q315" s="260"/>
      <c r="R315" s="260"/>
      <c r="S315" s="260"/>
      <c r="T315" s="260"/>
      <c r="U315" s="260"/>
      <c r="V315" s="260"/>
      <c r="W315" s="260"/>
      <c r="X315" s="262"/>
    </row>
    <row r="316" spans="1:24" s="179" customFormat="1" ht="23.25">
      <c r="A316" s="175" t="s">
        <v>416</v>
      </c>
      <c r="B316" s="176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178">
        <f>SUM(M317:M326)</f>
        <v>1887700</v>
      </c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</row>
    <row r="317" spans="1:24" s="76" customFormat="1" ht="63" customHeight="1">
      <c r="A317" s="66" t="s">
        <v>441</v>
      </c>
      <c r="B317" s="68" t="s">
        <v>45</v>
      </c>
      <c r="C317" s="68" t="s">
        <v>442</v>
      </c>
      <c r="D317" s="68" t="s">
        <v>443</v>
      </c>
      <c r="E317" s="68" t="s">
        <v>444</v>
      </c>
      <c r="F317" s="103" t="s">
        <v>445</v>
      </c>
      <c r="G317" s="89"/>
      <c r="H317" s="89"/>
      <c r="I317" s="90" t="s">
        <v>446</v>
      </c>
      <c r="J317" s="108" t="s">
        <v>447</v>
      </c>
      <c r="K317" s="108"/>
      <c r="L317" s="74"/>
      <c r="M317" s="74">
        <v>60000</v>
      </c>
      <c r="N317" s="74"/>
      <c r="O317" s="75"/>
      <c r="P317" s="75"/>
      <c r="Q317" s="75"/>
      <c r="R317" s="75"/>
      <c r="S317" s="75"/>
      <c r="T317" s="75"/>
      <c r="U317" s="75">
        <v>0</v>
      </c>
      <c r="V317" s="73"/>
      <c r="W317" s="73"/>
      <c r="X317" s="73"/>
    </row>
    <row r="318" spans="1:24" s="76" customFormat="1" ht="45" customHeight="1">
      <c r="A318" s="66" t="s">
        <v>448</v>
      </c>
      <c r="B318" s="68" t="s">
        <v>45</v>
      </c>
      <c r="C318" s="268" t="s">
        <v>449</v>
      </c>
      <c r="D318" s="115" t="s">
        <v>450</v>
      </c>
      <c r="E318" s="96" t="s">
        <v>451</v>
      </c>
      <c r="F318" s="269" t="s">
        <v>452</v>
      </c>
      <c r="G318" s="98"/>
      <c r="H318" s="98"/>
      <c r="I318" s="90" t="s">
        <v>453</v>
      </c>
      <c r="J318" s="96"/>
      <c r="K318" s="96"/>
      <c r="L318" s="99"/>
      <c r="M318" s="99">
        <v>259200</v>
      </c>
      <c r="N318" s="99"/>
      <c r="O318" s="102"/>
      <c r="P318" s="102"/>
      <c r="Q318" s="102"/>
      <c r="R318" s="102"/>
      <c r="S318" s="102"/>
      <c r="T318" s="102"/>
      <c r="U318" s="102">
        <v>0</v>
      </c>
      <c r="V318" s="73"/>
      <c r="W318" s="73"/>
      <c r="X318" s="73"/>
    </row>
    <row r="319" spans="1:24" s="76" customFormat="1" ht="42">
      <c r="A319" s="66" t="s">
        <v>454</v>
      </c>
      <c r="B319" s="96" t="s">
        <v>455</v>
      </c>
      <c r="C319" s="270" t="s">
        <v>456</v>
      </c>
      <c r="D319" s="115"/>
      <c r="E319" s="96"/>
      <c r="F319" s="115"/>
      <c r="G319" s="98"/>
      <c r="H319" s="98"/>
      <c r="I319" s="90"/>
      <c r="J319" s="96"/>
      <c r="K319" s="96"/>
      <c r="L319" s="99"/>
      <c r="M319" s="99">
        <v>200000</v>
      </c>
      <c r="N319" s="99"/>
      <c r="O319" s="102"/>
      <c r="P319" s="102"/>
      <c r="Q319" s="102"/>
      <c r="R319" s="102"/>
      <c r="S319" s="102"/>
      <c r="T319" s="102"/>
      <c r="U319" s="102"/>
      <c r="V319" s="73"/>
      <c r="W319" s="73"/>
      <c r="X319" s="73"/>
    </row>
    <row r="320" spans="1:24" s="141" customFormat="1" ht="42">
      <c r="A320" s="242" t="s">
        <v>457</v>
      </c>
      <c r="B320" s="250" t="s">
        <v>81</v>
      </c>
      <c r="C320" s="250" t="s">
        <v>458</v>
      </c>
      <c r="D320" s="138"/>
      <c r="E320" s="250"/>
      <c r="F320" s="138"/>
      <c r="G320" s="271"/>
      <c r="H320" s="271"/>
      <c r="I320" s="140"/>
      <c r="J320" s="250"/>
      <c r="K320" s="250"/>
      <c r="L320" s="100"/>
      <c r="M320" s="101" t="s">
        <v>459</v>
      </c>
      <c r="N320" s="100"/>
      <c r="O320" s="101"/>
      <c r="P320" s="101"/>
      <c r="Q320" s="101"/>
      <c r="R320" s="101"/>
      <c r="S320" s="101"/>
      <c r="T320" s="101"/>
      <c r="U320" s="101"/>
      <c r="V320" s="92"/>
      <c r="W320" s="92"/>
      <c r="X320" s="92"/>
    </row>
    <row r="321" spans="1:24" s="141" customFormat="1" ht="42">
      <c r="A321" s="242" t="s">
        <v>460</v>
      </c>
      <c r="B321" s="250" t="s">
        <v>81</v>
      </c>
      <c r="C321" s="69" t="s">
        <v>461</v>
      </c>
      <c r="D321" s="120"/>
      <c r="E321" s="69"/>
      <c r="F321" s="120"/>
      <c r="G321" s="71"/>
      <c r="H321" s="71"/>
      <c r="I321" s="140"/>
      <c r="J321" s="69"/>
      <c r="K321" s="69"/>
      <c r="L321" s="72"/>
      <c r="M321" s="72">
        <v>0</v>
      </c>
      <c r="N321" s="72"/>
      <c r="O321" s="91"/>
      <c r="P321" s="91"/>
      <c r="Q321" s="91"/>
      <c r="R321" s="91"/>
      <c r="S321" s="91"/>
      <c r="T321" s="91"/>
      <c r="U321" s="91"/>
      <c r="V321" s="92"/>
      <c r="W321" s="92"/>
      <c r="X321" s="92"/>
    </row>
    <row r="322" spans="1:24" s="76" customFormat="1" ht="42">
      <c r="A322" s="66" t="s">
        <v>462</v>
      </c>
      <c r="B322" s="96" t="s">
        <v>81</v>
      </c>
      <c r="C322" s="68" t="s">
        <v>463</v>
      </c>
      <c r="D322" s="119"/>
      <c r="E322" s="68"/>
      <c r="F322" s="119"/>
      <c r="G322" s="89"/>
      <c r="H322" s="89"/>
      <c r="I322" s="90"/>
      <c r="J322" s="68"/>
      <c r="K322" s="68"/>
      <c r="L322" s="74"/>
      <c r="M322" s="74">
        <v>130000</v>
      </c>
      <c r="N322" s="74"/>
      <c r="O322" s="75"/>
      <c r="P322" s="75"/>
      <c r="Q322" s="75"/>
      <c r="R322" s="75"/>
      <c r="S322" s="75"/>
      <c r="T322" s="75"/>
      <c r="U322" s="75"/>
      <c r="V322" s="73"/>
      <c r="W322" s="73"/>
      <c r="X322" s="73"/>
    </row>
    <row r="323" spans="1:24" s="76" customFormat="1" ht="42">
      <c r="A323" s="66" t="s">
        <v>464</v>
      </c>
      <c r="B323" s="96" t="s">
        <v>81</v>
      </c>
      <c r="C323" s="68" t="s">
        <v>465</v>
      </c>
      <c r="D323" s="119"/>
      <c r="E323" s="68"/>
      <c r="F323" s="119"/>
      <c r="G323" s="89"/>
      <c r="H323" s="89"/>
      <c r="I323" s="90"/>
      <c r="J323" s="68"/>
      <c r="K323" s="68"/>
      <c r="L323" s="74"/>
      <c r="M323" s="74">
        <v>134000</v>
      </c>
      <c r="N323" s="74"/>
      <c r="O323" s="75"/>
      <c r="P323" s="75"/>
      <c r="Q323" s="75"/>
      <c r="R323" s="75"/>
      <c r="S323" s="75"/>
      <c r="T323" s="75"/>
      <c r="U323" s="75"/>
      <c r="V323" s="73"/>
      <c r="W323" s="73"/>
      <c r="X323" s="73"/>
    </row>
    <row r="324" spans="1:24" s="76" customFormat="1" ht="54.75" customHeight="1">
      <c r="A324" s="90">
        <v>21</v>
      </c>
      <c r="B324" s="315" t="s">
        <v>89</v>
      </c>
      <c r="C324" s="68" t="s">
        <v>466</v>
      </c>
      <c r="D324" s="272" t="s">
        <v>467</v>
      </c>
      <c r="E324" s="272" t="s">
        <v>468</v>
      </c>
      <c r="F324" s="68" t="s">
        <v>469</v>
      </c>
      <c r="G324" s="89"/>
      <c r="H324" s="89"/>
      <c r="I324" s="90"/>
      <c r="J324" s="68"/>
      <c r="K324" s="68"/>
      <c r="L324" s="74"/>
      <c r="M324" s="73">
        <f>N324+O324+S324+T324+W324+X324</f>
        <v>68500</v>
      </c>
      <c r="N324" s="73">
        <v>0</v>
      </c>
      <c r="O324" s="73">
        <v>0</v>
      </c>
      <c r="P324" s="73">
        <v>0</v>
      </c>
      <c r="Q324" s="73">
        <v>0</v>
      </c>
      <c r="R324" s="73">
        <v>0</v>
      </c>
      <c r="S324" s="73">
        <f>P324+Q324+R324</f>
        <v>0</v>
      </c>
      <c r="T324" s="73">
        <v>0</v>
      </c>
      <c r="U324" s="73">
        <v>0</v>
      </c>
      <c r="V324" s="73">
        <v>0</v>
      </c>
      <c r="W324" s="73">
        <f>U324+V324</f>
        <v>0</v>
      </c>
      <c r="X324" s="74">
        <v>68500</v>
      </c>
    </row>
    <row r="325" spans="1:24" s="76" customFormat="1" ht="66.75" customHeight="1">
      <c r="A325" s="107">
        <v>22</v>
      </c>
      <c r="B325" s="68" t="s">
        <v>357</v>
      </c>
      <c r="C325" s="96" t="s">
        <v>470</v>
      </c>
      <c r="D325" s="119"/>
      <c r="E325" s="88"/>
      <c r="F325" s="119"/>
      <c r="G325" s="89"/>
      <c r="H325" s="89"/>
      <c r="I325" s="90"/>
      <c r="J325" s="68"/>
      <c r="K325" s="68"/>
      <c r="L325" s="74"/>
      <c r="M325" s="73">
        <v>900000</v>
      </c>
      <c r="N325" s="73">
        <v>0</v>
      </c>
      <c r="O325" s="73">
        <v>0</v>
      </c>
      <c r="P325" s="73">
        <v>0</v>
      </c>
      <c r="Q325" s="73">
        <v>0</v>
      </c>
      <c r="R325" s="73">
        <v>0</v>
      </c>
      <c r="S325" s="73">
        <f>P325+Q325+R325</f>
        <v>0</v>
      </c>
      <c r="T325" s="73">
        <v>0</v>
      </c>
      <c r="U325" s="73">
        <v>0</v>
      </c>
      <c r="V325" s="73">
        <v>0</v>
      </c>
      <c r="W325" s="73">
        <f>U325+V325</f>
        <v>0</v>
      </c>
      <c r="X325" s="99">
        <v>900000</v>
      </c>
    </row>
    <row r="326" spans="1:24" s="76" customFormat="1" ht="42">
      <c r="A326" s="107">
        <v>23</v>
      </c>
      <c r="B326" s="68" t="s">
        <v>357</v>
      </c>
      <c r="C326" s="96" t="s">
        <v>471</v>
      </c>
      <c r="D326" s="119"/>
      <c r="E326" s="88"/>
      <c r="F326" s="119"/>
      <c r="G326" s="89"/>
      <c r="H326" s="89"/>
      <c r="I326" s="90"/>
      <c r="J326" s="68"/>
      <c r="K326" s="68"/>
      <c r="L326" s="74"/>
      <c r="M326" s="73">
        <f>N326+O326+S326+T326+W326+X326</f>
        <v>136000</v>
      </c>
      <c r="N326" s="73">
        <v>0</v>
      </c>
      <c r="O326" s="73">
        <v>0</v>
      </c>
      <c r="P326" s="73">
        <v>0</v>
      </c>
      <c r="Q326" s="73">
        <v>0</v>
      </c>
      <c r="R326" s="73">
        <v>0</v>
      </c>
      <c r="S326" s="73">
        <f>P326+Q326+R326</f>
        <v>0</v>
      </c>
      <c r="T326" s="73">
        <v>0</v>
      </c>
      <c r="U326" s="73">
        <v>0</v>
      </c>
      <c r="V326" s="73">
        <v>0</v>
      </c>
      <c r="W326" s="73">
        <f>U326+V326</f>
        <v>0</v>
      </c>
      <c r="X326" s="99">
        <v>136000</v>
      </c>
    </row>
    <row r="327" spans="1:24" s="179" customFormat="1" ht="23.25">
      <c r="A327" s="175" t="s">
        <v>429</v>
      </c>
      <c r="B327" s="176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273">
        <f>SUM(M329:M331)</f>
        <v>30000</v>
      </c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</row>
    <row r="328" spans="1:24" s="159" customFormat="1" ht="45" customHeight="1">
      <c r="A328" s="265" t="s">
        <v>34</v>
      </c>
      <c r="B328" s="151" t="s">
        <v>357</v>
      </c>
      <c r="C328" s="151" t="s">
        <v>472</v>
      </c>
      <c r="D328" s="151"/>
      <c r="E328" s="152"/>
      <c r="F328" s="151"/>
      <c r="G328" s="153"/>
      <c r="H328" s="153"/>
      <c r="I328" s="154" t="s">
        <v>57</v>
      </c>
      <c r="J328" s="151"/>
      <c r="K328" s="151"/>
      <c r="L328" s="155"/>
      <c r="M328" s="158">
        <f>SUM(M329:M329)</f>
        <v>30000</v>
      </c>
      <c r="N328" s="158" t="s">
        <v>34</v>
      </c>
      <c r="O328" s="158">
        <v>0</v>
      </c>
      <c r="P328" s="158">
        <v>0</v>
      </c>
      <c r="Q328" s="158">
        <v>0</v>
      </c>
      <c r="R328" s="158">
        <v>0</v>
      </c>
      <c r="S328" s="158">
        <f>P328+Q328+R328</f>
        <v>0</v>
      </c>
      <c r="T328" s="158">
        <v>0</v>
      </c>
      <c r="U328" s="158">
        <v>0</v>
      </c>
      <c r="V328" s="158">
        <v>0</v>
      </c>
      <c r="W328" s="158">
        <f>U328+V328</f>
        <v>0</v>
      </c>
      <c r="X328" s="158">
        <v>770000</v>
      </c>
    </row>
    <row r="329" spans="1:24" s="76" customFormat="1" ht="84.75" customHeight="1">
      <c r="A329" s="90" t="s">
        <v>473</v>
      </c>
      <c r="B329" s="68" t="s">
        <v>81</v>
      </c>
      <c r="C329" s="68" t="s">
        <v>474</v>
      </c>
      <c r="D329" s="103" t="s">
        <v>475</v>
      </c>
      <c r="E329" s="88" t="s">
        <v>476</v>
      </c>
      <c r="F329" s="68"/>
      <c r="G329" s="89"/>
      <c r="H329" s="89"/>
      <c r="I329" s="90"/>
      <c r="J329" s="68"/>
      <c r="K329" s="68"/>
      <c r="L329" s="74"/>
      <c r="M329" s="170">
        <v>30000</v>
      </c>
      <c r="N329" s="171">
        <v>0</v>
      </c>
      <c r="O329" s="171">
        <v>0</v>
      </c>
      <c r="P329" s="171">
        <v>0</v>
      </c>
      <c r="Q329" s="171">
        <f>SUM(Q330:Q331)</f>
        <v>30000</v>
      </c>
      <c r="R329" s="171">
        <v>0</v>
      </c>
      <c r="S329" s="171">
        <f>P329+Q329+R329</f>
        <v>30000</v>
      </c>
      <c r="T329" s="171">
        <v>0</v>
      </c>
      <c r="U329" s="171">
        <v>0</v>
      </c>
      <c r="V329" s="171">
        <v>0</v>
      </c>
      <c r="W329" s="171">
        <f>U329+V329</f>
        <v>0</v>
      </c>
      <c r="X329" s="171">
        <v>0</v>
      </c>
    </row>
    <row r="330" spans="1:24" s="76" customFormat="1">
      <c r="A330" s="107"/>
      <c r="B330" s="67" t="s">
        <v>34</v>
      </c>
      <c r="C330" s="94" t="s">
        <v>477</v>
      </c>
      <c r="D330" s="103"/>
      <c r="E330" s="88"/>
      <c r="F330" s="68"/>
      <c r="G330" s="89"/>
      <c r="H330" s="89"/>
      <c r="I330" s="90"/>
      <c r="J330" s="68"/>
      <c r="K330" s="68"/>
      <c r="L330" s="74"/>
      <c r="M330" s="73"/>
      <c r="N330" s="73"/>
      <c r="O330" s="73"/>
      <c r="P330" s="73"/>
      <c r="Q330" s="73">
        <v>10000</v>
      </c>
      <c r="R330" s="73"/>
      <c r="S330" s="73"/>
      <c r="T330" s="73"/>
      <c r="U330" s="73"/>
      <c r="V330" s="73"/>
      <c r="W330" s="73"/>
      <c r="X330" s="73"/>
    </row>
    <row r="331" spans="1:24" s="76" customFormat="1" ht="37.5">
      <c r="A331" s="108"/>
      <c r="B331" s="68" t="s">
        <v>34</v>
      </c>
      <c r="C331" s="94" t="s">
        <v>478</v>
      </c>
      <c r="D331" s="103"/>
      <c r="E331" s="88"/>
      <c r="F331" s="68"/>
      <c r="G331" s="89"/>
      <c r="H331" s="89"/>
      <c r="I331" s="90"/>
      <c r="J331" s="68"/>
      <c r="K331" s="68"/>
      <c r="L331" s="74"/>
      <c r="M331" s="73"/>
      <c r="N331" s="73"/>
      <c r="O331" s="73"/>
      <c r="P331" s="73"/>
      <c r="Q331" s="73">
        <v>20000</v>
      </c>
      <c r="R331" s="73"/>
      <c r="S331" s="73"/>
      <c r="T331" s="73"/>
      <c r="U331" s="73"/>
      <c r="V331" s="73"/>
      <c r="W331" s="73"/>
      <c r="X331" s="73"/>
    </row>
    <row r="332" spans="1:24" s="263" customFormat="1" ht="31.5">
      <c r="A332" s="258" t="s">
        <v>479</v>
      </c>
      <c r="B332" s="259"/>
      <c r="C332" s="260"/>
      <c r="D332" s="260"/>
      <c r="E332" s="260"/>
      <c r="F332" s="260"/>
      <c r="G332" s="260"/>
      <c r="H332" s="260"/>
      <c r="I332" s="260"/>
      <c r="J332" s="260"/>
      <c r="K332" s="260"/>
      <c r="L332" s="260"/>
      <c r="M332" s="267">
        <f>M334+M335+M336+M347</f>
        <v>480000</v>
      </c>
      <c r="N332" s="259"/>
      <c r="O332" s="259"/>
      <c r="P332" s="260"/>
      <c r="Q332" s="260"/>
      <c r="R332" s="260"/>
      <c r="S332" s="260"/>
      <c r="T332" s="260"/>
      <c r="U332" s="260"/>
      <c r="V332" s="260"/>
      <c r="W332" s="260"/>
      <c r="X332" s="262"/>
    </row>
    <row r="333" spans="1:24" s="179" customFormat="1" ht="23.25">
      <c r="A333" s="175" t="s">
        <v>416</v>
      </c>
      <c r="B333" s="176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178">
        <f>SUM(M334:M354)</f>
        <v>480000</v>
      </c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</row>
    <row r="334" spans="1:24" s="76" customFormat="1" ht="63">
      <c r="A334" s="66" t="s">
        <v>480</v>
      </c>
      <c r="B334" s="96" t="s">
        <v>455</v>
      </c>
      <c r="C334" s="268" t="s">
        <v>481</v>
      </c>
      <c r="D334" s="96"/>
      <c r="E334" s="96"/>
      <c r="F334" s="96"/>
      <c r="G334" s="90"/>
      <c r="H334" s="90"/>
      <c r="I334" s="90"/>
      <c r="J334" s="96"/>
      <c r="K334" s="96"/>
      <c r="L334" s="99"/>
      <c r="M334" s="73">
        <f>N334+O334+S334+T334+W334+X334</f>
        <v>150000</v>
      </c>
      <c r="N334" s="73">
        <v>0</v>
      </c>
      <c r="O334" s="73">
        <v>0</v>
      </c>
      <c r="P334" s="73">
        <v>0</v>
      </c>
      <c r="Q334" s="73">
        <v>0</v>
      </c>
      <c r="R334" s="73">
        <v>0</v>
      </c>
      <c r="S334" s="73">
        <f>P334+Q334+R334</f>
        <v>0</v>
      </c>
      <c r="T334" s="73">
        <v>0</v>
      </c>
      <c r="U334" s="73">
        <v>0</v>
      </c>
      <c r="V334" s="73">
        <v>0</v>
      </c>
      <c r="W334" s="73">
        <f>U334+V334</f>
        <v>0</v>
      </c>
      <c r="X334" s="99">
        <v>150000</v>
      </c>
    </row>
    <row r="335" spans="1:24" s="76" customFormat="1" ht="63">
      <c r="A335" s="66" t="s">
        <v>482</v>
      </c>
      <c r="B335" s="96" t="s">
        <v>455</v>
      </c>
      <c r="C335" s="268" t="s">
        <v>483</v>
      </c>
      <c r="D335" s="96"/>
      <c r="E335" s="96"/>
      <c r="F335" s="96"/>
      <c r="G335" s="90"/>
      <c r="H335" s="90"/>
      <c r="I335" s="90"/>
      <c r="J335" s="96"/>
      <c r="K335" s="96"/>
      <c r="L335" s="99"/>
      <c r="M335" s="73">
        <f>N335+O335+S335+T335+W335+X335</f>
        <v>150000</v>
      </c>
      <c r="N335" s="73">
        <v>0</v>
      </c>
      <c r="O335" s="73">
        <v>0</v>
      </c>
      <c r="P335" s="73">
        <v>0</v>
      </c>
      <c r="Q335" s="73">
        <v>0</v>
      </c>
      <c r="R335" s="73">
        <v>0</v>
      </c>
      <c r="S335" s="73">
        <f>P335+Q335+R335</f>
        <v>0</v>
      </c>
      <c r="T335" s="73">
        <v>0</v>
      </c>
      <c r="U335" s="73">
        <v>0</v>
      </c>
      <c r="V335" s="73">
        <v>0</v>
      </c>
      <c r="W335" s="73">
        <f>U335+V335</f>
        <v>0</v>
      </c>
      <c r="X335" s="99">
        <v>150000</v>
      </c>
    </row>
    <row r="336" spans="1:24" s="76" customFormat="1" ht="63">
      <c r="A336" s="66" t="s">
        <v>484</v>
      </c>
      <c r="B336" s="96" t="s">
        <v>365</v>
      </c>
      <c r="C336" s="115" t="s">
        <v>485</v>
      </c>
      <c r="D336" s="115"/>
      <c r="E336" s="115"/>
      <c r="F336" s="115"/>
      <c r="G336" s="115"/>
      <c r="H336" s="115"/>
      <c r="I336" s="90"/>
      <c r="J336" s="90"/>
      <c r="K336" s="90"/>
      <c r="L336" s="99"/>
      <c r="M336" s="73">
        <v>100000</v>
      </c>
      <c r="N336" s="73">
        <v>0</v>
      </c>
      <c r="O336" s="73">
        <v>0</v>
      </c>
      <c r="P336" s="73">
        <v>0</v>
      </c>
      <c r="Q336" s="171">
        <f>SUM(Q337:Q346)</f>
        <v>100000</v>
      </c>
      <c r="R336" s="73">
        <v>0</v>
      </c>
      <c r="S336" s="73">
        <f>P336+Q336+R336</f>
        <v>100000</v>
      </c>
      <c r="T336" s="73">
        <v>0</v>
      </c>
      <c r="U336" s="73">
        <v>0</v>
      </c>
      <c r="V336" s="73">
        <v>0</v>
      </c>
      <c r="W336" s="73">
        <f>U336+V336</f>
        <v>0</v>
      </c>
      <c r="X336" s="99">
        <v>150000</v>
      </c>
    </row>
    <row r="337" spans="1:24" s="76" customFormat="1" ht="42">
      <c r="A337" s="66"/>
      <c r="B337" s="96" t="s">
        <v>365</v>
      </c>
      <c r="C337" s="248" t="s">
        <v>486</v>
      </c>
      <c r="D337" s="115"/>
      <c r="E337" s="115"/>
      <c r="F337" s="115"/>
      <c r="G337" s="115"/>
      <c r="H337" s="115"/>
      <c r="I337" s="90"/>
      <c r="J337" s="90"/>
      <c r="K337" s="107"/>
      <c r="L337" s="275"/>
      <c r="M337" s="73"/>
      <c r="N337" s="73"/>
      <c r="O337" s="73"/>
      <c r="P337" s="73"/>
      <c r="Q337" s="73">
        <f>3*1200</f>
        <v>3600</v>
      </c>
      <c r="R337" s="73"/>
      <c r="S337" s="73"/>
      <c r="T337" s="73"/>
      <c r="U337" s="73"/>
      <c r="V337" s="73"/>
      <c r="W337" s="73"/>
      <c r="X337" s="275"/>
    </row>
    <row r="338" spans="1:24" s="76" customFormat="1" ht="42">
      <c r="A338" s="66"/>
      <c r="B338" s="96" t="s">
        <v>365</v>
      </c>
      <c r="C338" s="115" t="s">
        <v>487</v>
      </c>
      <c r="D338" s="115"/>
      <c r="E338" s="115"/>
      <c r="F338" s="115"/>
      <c r="G338" s="115"/>
      <c r="H338" s="115"/>
      <c r="I338" s="90"/>
      <c r="J338" s="90"/>
      <c r="K338" s="107"/>
      <c r="L338" s="275"/>
      <c r="M338" s="73"/>
      <c r="N338" s="73"/>
      <c r="O338" s="73"/>
      <c r="P338" s="73"/>
      <c r="Q338" s="73">
        <v>7000</v>
      </c>
      <c r="R338" s="73"/>
      <c r="S338" s="73"/>
      <c r="T338" s="73"/>
      <c r="U338" s="73"/>
      <c r="V338" s="73"/>
      <c r="W338" s="73"/>
      <c r="X338" s="275"/>
    </row>
    <row r="339" spans="1:24" s="76" customFormat="1" ht="42">
      <c r="A339" s="66"/>
      <c r="B339" s="96" t="s">
        <v>365</v>
      </c>
      <c r="C339" s="269" t="s">
        <v>488</v>
      </c>
      <c r="D339" s="115"/>
      <c r="E339" s="115"/>
      <c r="F339" s="115"/>
      <c r="G339" s="115"/>
      <c r="H339" s="115"/>
      <c r="I339" s="90"/>
      <c r="J339" s="90"/>
      <c r="K339" s="107"/>
      <c r="L339" s="275"/>
      <c r="M339" s="73"/>
      <c r="N339" s="73"/>
      <c r="O339" s="73"/>
      <c r="P339" s="73"/>
      <c r="Q339" s="73">
        <f>100*35*1</f>
        <v>3500</v>
      </c>
      <c r="R339" s="73"/>
      <c r="S339" s="73"/>
      <c r="T339" s="73"/>
      <c r="U339" s="73"/>
      <c r="V339" s="73"/>
      <c r="W339" s="73"/>
      <c r="X339" s="275"/>
    </row>
    <row r="340" spans="1:24" s="76" customFormat="1" ht="42">
      <c r="A340" s="66"/>
      <c r="B340" s="96" t="s">
        <v>365</v>
      </c>
      <c r="C340" s="269" t="s">
        <v>489</v>
      </c>
      <c r="D340" s="115"/>
      <c r="E340" s="115"/>
      <c r="F340" s="115"/>
      <c r="G340" s="115"/>
      <c r="H340" s="115"/>
      <c r="I340" s="90"/>
      <c r="J340" s="90"/>
      <c r="K340" s="107"/>
      <c r="L340" s="275"/>
      <c r="M340" s="73"/>
      <c r="N340" s="73"/>
      <c r="O340" s="73"/>
      <c r="P340" s="73"/>
      <c r="Q340" s="73">
        <f>100*80*4</f>
        <v>32000</v>
      </c>
      <c r="R340" s="73"/>
      <c r="S340" s="73"/>
      <c r="T340" s="73"/>
      <c r="U340" s="73"/>
      <c r="V340" s="73"/>
      <c r="W340" s="73"/>
      <c r="X340" s="275"/>
    </row>
    <row r="341" spans="1:24" s="76" customFormat="1" ht="42">
      <c r="A341" s="66"/>
      <c r="B341" s="96" t="s">
        <v>365</v>
      </c>
      <c r="C341" s="115" t="s">
        <v>490</v>
      </c>
      <c r="D341" s="115"/>
      <c r="E341" s="115"/>
      <c r="F341" s="115"/>
      <c r="G341" s="115"/>
      <c r="H341" s="115"/>
      <c r="I341" s="90"/>
      <c r="J341" s="90"/>
      <c r="K341" s="107"/>
      <c r="L341" s="275"/>
      <c r="M341" s="73"/>
      <c r="N341" s="73"/>
      <c r="O341" s="73"/>
      <c r="P341" s="73"/>
      <c r="Q341" s="73">
        <f>300*100*1</f>
        <v>30000</v>
      </c>
      <c r="R341" s="73"/>
      <c r="S341" s="73"/>
      <c r="T341" s="73"/>
      <c r="U341" s="73"/>
      <c r="V341" s="73"/>
      <c r="W341" s="73"/>
      <c r="X341" s="275"/>
    </row>
    <row r="342" spans="1:24" s="76" customFormat="1" ht="42">
      <c r="A342" s="66"/>
      <c r="B342" s="96" t="s">
        <v>365</v>
      </c>
      <c r="C342" s="115" t="s">
        <v>491</v>
      </c>
      <c r="D342" s="115"/>
      <c r="E342" s="115"/>
      <c r="F342" s="115"/>
      <c r="G342" s="115"/>
      <c r="H342" s="115"/>
      <c r="I342" s="90"/>
      <c r="J342" s="90"/>
      <c r="K342" s="107"/>
      <c r="L342" s="275"/>
      <c r="M342" s="73"/>
      <c r="N342" s="73"/>
      <c r="O342" s="73"/>
      <c r="P342" s="73"/>
      <c r="Q342" s="73">
        <v>500</v>
      </c>
      <c r="R342" s="73"/>
      <c r="S342" s="73"/>
      <c r="T342" s="73"/>
      <c r="U342" s="73"/>
      <c r="V342" s="73"/>
      <c r="W342" s="73"/>
      <c r="X342" s="275"/>
    </row>
    <row r="343" spans="1:24" s="76" customFormat="1" ht="42">
      <c r="A343" s="66"/>
      <c r="B343" s="96" t="s">
        <v>365</v>
      </c>
      <c r="C343" s="115" t="s">
        <v>492</v>
      </c>
      <c r="D343" s="115"/>
      <c r="E343" s="115"/>
      <c r="F343" s="115"/>
      <c r="G343" s="115"/>
      <c r="H343" s="115"/>
      <c r="I343" s="90"/>
      <c r="J343" s="90"/>
      <c r="K343" s="107"/>
      <c r="L343" s="275"/>
      <c r="M343" s="73"/>
      <c r="N343" s="73"/>
      <c r="O343" s="73"/>
      <c r="P343" s="73"/>
      <c r="Q343" s="73">
        <f>100*25*1</f>
        <v>2500</v>
      </c>
      <c r="R343" s="73"/>
      <c r="S343" s="73"/>
      <c r="T343" s="73"/>
      <c r="U343" s="73"/>
      <c r="V343" s="73"/>
      <c r="W343" s="73"/>
      <c r="X343" s="275"/>
    </row>
    <row r="344" spans="1:24" s="76" customFormat="1" ht="42">
      <c r="A344" s="66"/>
      <c r="B344" s="96" t="s">
        <v>365</v>
      </c>
      <c r="C344" s="276" t="s">
        <v>493</v>
      </c>
      <c r="D344" s="115"/>
      <c r="E344" s="115"/>
      <c r="F344" s="115"/>
      <c r="G344" s="115"/>
      <c r="H344" s="115"/>
      <c r="I344" s="90"/>
      <c r="J344" s="90"/>
      <c r="K344" s="107"/>
      <c r="L344" s="275"/>
      <c r="M344" s="73"/>
      <c r="N344" s="73"/>
      <c r="O344" s="73"/>
      <c r="P344" s="73"/>
      <c r="Q344" s="171">
        <f>100*35*2</f>
        <v>7000</v>
      </c>
      <c r="R344" s="73"/>
      <c r="S344" s="73"/>
      <c r="T344" s="73"/>
      <c r="U344" s="73"/>
      <c r="V344" s="73"/>
      <c r="W344" s="73"/>
      <c r="X344" s="275"/>
    </row>
    <row r="345" spans="1:24" s="76" customFormat="1" ht="42">
      <c r="A345" s="66"/>
      <c r="B345" s="96" t="s">
        <v>365</v>
      </c>
      <c r="C345" s="115" t="s">
        <v>494</v>
      </c>
      <c r="D345" s="115"/>
      <c r="E345" s="115"/>
      <c r="F345" s="115"/>
      <c r="G345" s="115"/>
      <c r="H345" s="115"/>
      <c r="I345" s="90"/>
      <c r="J345" s="90"/>
      <c r="K345" s="107"/>
      <c r="L345" s="275"/>
      <c r="M345" s="73"/>
      <c r="N345" s="73"/>
      <c r="O345" s="73"/>
      <c r="P345" s="73"/>
      <c r="Q345" s="73">
        <v>10000</v>
      </c>
      <c r="R345" s="73"/>
      <c r="S345" s="73"/>
      <c r="T345" s="73"/>
      <c r="U345" s="73"/>
      <c r="V345" s="73"/>
      <c r="W345" s="73"/>
      <c r="X345" s="275"/>
    </row>
    <row r="346" spans="1:24" s="76" customFormat="1" ht="42">
      <c r="A346" s="66"/>
      <c r="B346" s="96" t="s">
        <v>365</v>
      </c>
      <c r="C346" s="276" t="s">
        <v>78</v>
      </c>
      <c r="D346" s="115"/>
      <c r="E346" s="115"/>
      <c r="F346" s="115"/>
      <c r="G346" s="115"/>
      <c r="H346" s="115"/>
      <c r="I346" s="90"/>
      <c r="J346" s="90"/>
      <c r="K346" s="107"/>
      <c r="L346" s="275"/>
      <c r="M346" s="73"/>
      <c r="N346" s="73"/>
      <c r="O346" s="73"/>
      <c r="P346" s="73"/>
      <c r="Q346" s="171">
        <v>3900</v>
      </c>
      <c r="R346" s="73"/>
      <c r="S346" s="73"/>
      <c r="T346" s="73"/>
      <c r="U346" s="73"/>
      <c r="V346" s="73"/>
      <c r="W346" s="73"/>
      <c r="X346" s="275"/>
    </row>
    <row r="347" spans="1:24" s="76" customFormat="1" ht="42">
      <c r="A347" s="66" t="s">
        <v>495</v>
      </c>
      <c r="B347" s="96" t="s">
        <v>365</v>
      </c>
      <c r="C347" s="115" t="s">
        <v>496</v>
      </c>
      <c r="D347" s="115"/>
      <c r="E347" s="115"/>
      <c r="F347" s="115"/>
      <c r="G347" s="115"/>
      <c r="H347" s="115"/>
      <c r="I347" s="90"/>
      <c r="J347" s="90"/>
      <c r="K347" s="107"/>
      <c r="L347" s="275"/>
      <c r="M347" s="73">
        <v>80000</v>
      </c>
      <c r="N347" s="73">
        <v>0</v>
      </c>
      <c r="O347" s="73">
        <v>0</v>
      </c>
      <c r="P347" s="73">
        <v>0</v>
      </c>
      <c r="Q347" s="73">
        <f>SUM(Q348:Q354)</f>
        <v>80000</v>
      </c>
      <c r="R347" s="73">
        <v>0</v>
      </c>
      <c r="S347" s="73">
        <f>P347+Q347+R347</f>
        <v>80000</v>
      </c>
      <c r="T347" s="73">
        <v>0</v>
      </c>
      <c r="U347" s="73">
        <v>0</v>
      </c>
      <c r="V347" s="73">
        <v>0</v>
      </c>
      <c r="W347" s="73">
        <f>U347+V347</f>
        <v>0</v>
      </c>
      <c r="X347" s="275">
        <v>90000</v>
      </c>
    </row>
    <row r="348" spans="1:24" s="76" customFormat="1">
      <c r="A348" s="66"/>
      <c r="B348" s="322" t="s">
        <v>365</v>
      </c>
      <c r="C348" s="274" t="s">
        <v>497</v>
      </c>
      <c r="D348" s="115"/>
      <c r="E348" s="115"/>
      <c r="F348" s="115"/>
      <c r="G348" s="115"/>
      <c r="H348" s="115"/>
      <c r="I348" s="90"/>
      <c r="J348" s="90"/>
      <c r="K348" s="107"/>
      <c r="L348" s="275"/>
      <c r="M348" s="73"/>
      <c r="N348" s="73"/>
      <c r="O348" s="73"/>
      <c r="P348" s="73"/>
      <c r="Q348" s="73">
        <v>15000</v>
      </c>
      <c r="R348" s="73"/>
      <c r="S348" s="73"/>
      <c r="T348" s="73"/>
      <c r="U348" s="73"/>
      <c r="V348" s="73"/>
      <c r="W348" s="73"/>
      <c r="X348" s="275"/>
    </row>
    <row r="349" spans="1:24" s="76" customFormat="1">
      <c r="A349" s="66"/>
      <c r="B349" s="322" t="s">
        <v>365</v>
      </c>
      <c r="C349" s="248" t="s">
        <v>498</v>
      </c>
      <c r="D349" s="115"/>
      <c r="E349" s="115"/>
      <c r="F349" s="115"/>
      <c r="G349" s="115"/>
      <c r="H349" s="115"/>
      <c r="I349" s="90"/>
      <c r="J349" s="90"/>
      <c r="K349" s="107"/>
      <c r="L349" s="275"/>
      <c r="M349" s="73"/>
      <c r="N349" s="73"/>
      <c r="O349" s="73"/>
      <c r="P349" s="73"/>
      <c r="Q349" s="73">
        <f>200*60*3</f>
        <v>36000</v>
      </c>
      <c r="R349" s="73"/>
      <c r="S349" s="73"/>
      <c r="T349" s="73"/>
      <c r="U349" s="73"/>
      <c r="V349" s="73"/>
      <c r="W349" s="73"/>
      <c r="X349" s="275"/>
    </row>
    <row r="350" spans="1:24" s="76" customFormat="1">
      <c r="A350" s="66"/>
      <c r="B350" s="322" t="s">
        <v>365</v>
      </c>
      <c r="C350" s="248" t="s">
        <v>499</v>
      </c>
      <c r="D350" s="115"/>
      <c r="E350" s="115"/>
      <c r="F350" s="115"/>
      <c r="G350" s="115"/>
      <c r="H350" s="115"/>
      <c r="I350" s="90"/>
      <c r="J350" s="90"/>
      <c r="K350" s="107"/>
      <c r="L350" s="275"/>
      <c r="M350" s="73"/>
      <c r="N350" s="73"/>
      <c r="O350" s="73"/>
      <c r="P350" s="73"/>
      <c r="Q350" s="73">
        <f>200*10*3</f>
        <v>6000</v>
      </c>
      <c r="R350" s="73"/>
      <c r="S350" s="73"/>
      <c r="T350" s="73"/>
      <c r="U350" s="73"/>
      <c r="V350" s="73"/>
      <c r="W350" s="73"/>
      <c r="X350" s="275"/>
    </row>
    <row r="351" spans="1:24" s="76" customFormat="1">
      <c r="A351" s="66"/>
      <c r="B351" s="322" t="s">
        <v>365</v>
      </c>
      <c r="C351" s="274" t="s">
        <v>500</v>
      </c>
      <c r="D351" s="115"/>
      <c r="E351" s="115"/>
      <c r="F351" s="115"/>
      <c r="G351" s="115"/>
      <c r="H351" s="115"/>
      <c r="I351" s="90"/>
      <c r="J351" s="90"/>
      <c r="K351" s="107"/>
      <c r="L351" s="275"/>
      <c r="M351" s="73"/>
      <c r="N351" s="73"/>
      <c r="O351" s="73"/>
      <c r="P351" s="73"/>
      <c r="Q351" s="73">
        <v>2000</v>
      </c>
      <c r="R351" s="73"/>
      <c r="S351" s="73"/>
      <c r="T351" s="73"/>
      <c r="U351" s="73"/>
      <c r="V351" s="73"/>
      <c r="W351" s="73"/>
      <c r="X351" s="275"/>
    </row>
    <row r="352" spans="1:24" s="76" customFormat="1">
      <c r="A352" s="66"/>
      <c r="B352" s="322" t="s">
        <v>365</v>
      </c>
      <c r="C352" s="274" t="s">
        <v>501</v>
      </c>
      <c r="D352" s="115"/>
      <c r="E352" s="115"/>
      <c r="F352" s="115"/>
      <c r="G352" s="115"/>
      <c r="H352" s="115"/>
      <c r="I352" s="90"/>
      <c r="J352" s="90"/>
      <c r="K352" s="107"/>
      <c r="L352" s="275"/>
      <c r="M352" s="73"/>
      <c r="N352" s="73"/>
      <c r="O352" s="73"/>
      <c r="P352" s="73"/>
      <c r="Q352" s="73">
        <f>4000*2*2</f>
        <v>16000</v>
      </c>
      <c r="R352" s="73"/>
      <c r="S352" s="73"/>
      <c r="T352" s="73"/>
      <c r="U352" s="73"/>
      <c r="V352" s="73"/>
      <c r="W352" s="73"/>
      <c r="X352" s="275"/>
    </row>
    <row r="353" spans="1:24" s="76" customFormat="1">
      <c r="A353" s="66"/>
      <c r="B353" s="322" t="s">
        <v>365</v>
      </c>
      <c r="C353" s="248" t="s">
        <v>494</v>
      </c>
      <c r="D353" s="115"/>
      <c r="E353" s="115"/>
      <c r="F353" s="115"/>
      <c r="G353" s="115"/>
      <c r="H353" s="115"/>
      <c r="I353" s="90"/>
      <c r="J353" s="90"/>
      <c r="K353" s="107"/>
      <c r="L353" s="275"/>
      <c r="M353" s="73"/>
      <c r="N353" s="73"/>
      <c r="O353" s="73"/>
      <c r="P353" s="73"/>
      <c r="Q353" s="73">
        <v>4000</v>
      </c>
      <c r="R353" s="73"/>
      <c r="S353" s="73"/>
      <c r="T353" s="73"/>
      <c r="U353" s="73"/>
      <c r="V353" s="73"/>
      <c r="W353" s="73"/>
      <c r="X353" s="275"/>
    </row>
    <row r="354" spans="1:24" s="76" customFormat="1">
      <c r="A354" s="66"/>
      <c r="B354" s="322" t="s">
        <v>365</v>
      </c>
      <c r="C354" s="248" t="s">
        <v>72</v>
      </c>
      <c r="D354" s="115"/>
      <c r="E354" s="115"/>
      <c r="F354" s="115"/>
      <c r="G354" s="115"/>
      <c r="H354" s="115"/>
      <c r="I354" s="90"/>
      <c r="J354" s="90"/>
      <c r="K354" s="107"/>
      <c r="L354" s="275"/>
      <c r="M354" s="73"/>
      <c r="N354" s="73"/>
      <c r="O354" s="73"/>
      <c r="P354" s="73"/>
      <c r="Q354" s="73">
        <v>1000</v>
      </c>
      <c r="R354" s="73"/>
      <c r="S354" s="73"/>
      <c r="T354" s="73"/>
      <c r="U354" s="73"/>
      <c r="V354" s="73"/>
      <c r="W354" s="73"/>
      <c r="X354" s="275"/>
    </row>
    <row r="355" spans="1:24" s="179" customFormat="1" ht="25.5">
      <c r="A355" s="175" t="s">
        <v>429</v>
      </c>
      <c r="B355" s="176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277">
        <f>SUM(M357:M376)</f>
        <v>4760000</v>
      </c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</row>
    <row r="356" spans="1:24" s="159" customFormat="1" ht="42" customHeight="1">
      <c r="A356" s="265" t="s">
        <v>34</v>
      </c>
      <c r="B356" s="151" t="s">
        <v>357</v>
      </c>
      <c r="C356" s="151" t="s">
        <v>502</v>
      </c>
      <c r="D356" s="151"/>
      <c r="E356" s="152"/>
      <c r="F356" s="151"/>
      <c r="G356" s="153"/>
      <c r="H356" s="153"/>
      <c r="I356" s="154" t="s">
        <v>57</v>
      </c>
      <c r="J356" s="151"/>
      <c r="K356" s="151"/>
      <c r="L356" s="155"/>
      <c r="M356" s="158">
        <f>SUM(M357:M362)</f>
        <v>320000</v>
      </c>
      <c r="N356" s="158" t="s">
        <v>34</v>
      </c>
      <c r="O356" s="158">
        <v>0</v>
      </c>
      <c r="P356" s="158">
        <v>0</v>
      </c>
      <c r="Q356" s="158">
        <v>0</v>
      </c>
      <c r="R356" s="158">
        <v>0</v>
      </c>
      <c r="S356" s="158">
        <f>P356+Q356+R356</f>
        <v>0</v>
      </c>
      <c r="T356" s="158">
        <v>0</v>
      </c>
      <c r="U356" s="158">
        <v>0</v>
      </c>
      <c r="V356" s="158">
        <v>0</v>
      </c>
      <c r="W356" s="158">
        <f>U356+V356</f>
        <v>0</v>
      </c>
      <c r="X356" s="158">
        <v>770000</v>
      </c>
    </row>
    <row r="357" spans="1:24" s="76" customFormat="1" ht="63">
      <c r="A357" s="66" t="s">
        <v>431</v>
      </c>
      <c r="B357" s="68" t="s">
        <v>181</v>
      </c>
      <c r="C357" s="151" t="s">
        <v>503</v>
      </c>
      <c r="D357" s="68"/>
      <c r="E357" s="88"/>
      <c r="F357" s="68"/>
      <c r="G357" s="89"/>
      <c r="H357" s="89"/>
      <c r="I357" s="90"/>
      <c r="J357" s="68"/>
      <c r="K357" s="68"/>
      <c r="L357" s="74"/>
      <c r="M357" s="74">
        <f>Q357</f>
        <v>20000</v>
      </c>
      <c r="N357" s="74"/>
      <c r="O357" s="75"/>
      <c r="P357" s="75"/>
      <c r="Q357" s="75">
        <f>SUM(Q358:Q361)</f>
        <v>20000</v>
      </c>
      <c r="R357" s="75"/>
      <c r="S357" s="75"/>
      <c r="T357" s="75"/>
      <c r="U357" s="75"/>
      <c r="V357" s="73"/>
      <c r="W357" s="73"/>
      <c r="X357" s="73"/>
    </row>
    <row r="358" spans="1:24" s="76" customFormat="1">
      <c r="A358" s="66"/>
      <c r="B358" s="323" t="s">
        <v>181</v>
      </c>
      <c r="C358" s="278" t="s">
        <v>504</v>
      </c>
      <c r="D358" s="68"/>
      <c r="E358" s="88"/>
      <c r="F358" s="68"/>
      <c r="G358" s="89"/>
      <c r="H358" s="89"/>
      <c r="I358" s="90"/>
      <c r="J358" s="68"/>
      <c r="K358" s="68"/>
      <c r="L358" s="74"/>
      <c r="M358" s="74"/>
      <c r="N358" s="74"/>
      <c r="O358" s="75"/>
      <c r="P358" s="75"/>
      <c r="Q358" s="75">
        <f>2*1000</f>
        <v>2000</v>
      </c>
      <c r="R358" s="75"/>
      <c r="S358" s="75"/>
      <c r="T358" s="75"/>
      <c r="U358" s="75"/>
      <c r="V358" s="73"/>
      <c r="W358" s="73"/>
      <c r="X358" s="73"/>
    </row>
    <row r="359" spans="1:24" s="76" customFormat="1">
      <c r="A359" s="66"/>
      <c r="B359" s="323" t="s">
        <v>181</v>
      </c>
      <c r="C359" s="94" t="s">
        <v>505</v>
      </c>
      <c r="D359" s="68"/>
      <c r="E359" s="88"/>
      <c r="F359" s="68"/>
      <c r="G359" s="89"/>
      <c r="H359" s="89"/>
      <c r="I359" s="90"/>
      <c r="J359" s="68"/>
      <c r="K359" s="68"/>
      <c r="L359" s="74"/>
      <c r="M359" s="74"/>
      <c r="N359" s="74"/>
      <c r="O359" s="75"/>
      <c r="P359" s="75"/>
      <c r="Q359" s="75">
        <v>3000</v>
      </c>
      <c r="R359" s="75"/>
      <c r="S359" s="75"/>
      <c r="T359" s="75"/>
      <c r="U359" s="75"/>
      <c r="V359" s="73"/>
      <c r="W359" s="73"/>
      <c r="X359" s="73"/>
    </row>
    <row r="360" spans="1:24" s="76" customFormat="1">
      <c r="A360" s="66"/>
      <c r="B360" s="323" t="s">
        <v>181</v>
      </c>
      <c r="C360" s="94" t="s">
        <v>506</v>
      </c>
      <c r="D360" s="68"/>
      <c r="E360" s="88"/>
      <c r="F360" s="68"/>
      <c r="G360" s="89"/>
      <c r="H360" s="89"/>
      <c r="I360" s="90"/>
      <c r="J360" s="68"/>
      <c r="K360" s="68"/>
      <c r="L360" s="74"/>
      <c r="M360" s="74"/>
      <c r="N360" s="74"/>
      <c r="O360" s="75"/>
      <c r="P360" s="75"/>
      <c r="Q360" s="75">
        <f>10000</f>
        <v>10000</v>
      </c>
      <c r="R360" s="75"/>
      <c r="S360" s="75"/>
      <c r="T360" s="75"/>
      <c r="U360" s="75"/>
      <c r="V360" s="73"/>
      <c r="W360" s="73"/>
      <c r="X360" s="73"/>
    </row>
    <row r="361" spans="1:24" s="76" customFormat="1">
      <c r="A361" s="66"/>
      <c r="B361" s="323" t="s">
        <v>181</v>
      </c>
      <c r="C361" s="94" t="s">
        <v>507</v>
      </c>
      <c r="D361" s="68"/>
      <c r="E361" s="88"/>
      <c r="F361" s="68"/>
      <c r="G361" s="89"/>
      <c r="H361" s="89"/>
      <c r="I361" s="90"/>
      <c r="J361" s="68"/>
      <c r="K361" s="68"/>
      <c r="L361" s="74"/>
      <c r="M361" s="74"/>
      <c r="N361" s="74"/>
      <c r="O361" s="75"/>
      <c r="P361" s="75"/>
      <c r="Q361" s="75">
        <v>5000</v>
      </c>
      <c r="R361" s="75"/>
      <c r="S361" s="75"/>
      <c r="T361" s="75"/>
      <c r="U361" s="75"/>
      <c r="V361" s="73"/>
      <c r="W361" s="73"/>
      <c r="X361" s="73"/>
    </row>
    <row r="362" spans="1:24" s="76" customFormat="1" ht="63">
      <c r="A362" s="114" t="s">
        <v>433</v>
      </c>
      <c r="B362" s="103" t="s">
        <v>106</v>
      </c>
      <c r="C362" s="151" t="s">
        <v>508</v>
      </c>
      <c r="D362" s="68"/>
      <c r="E362" s="88"/>
      <c r="F362" s="68"/>
      <c r="G362" s="89"/>
      <c r="H362" s="89"/>
      <c r="I362" s="90"/>
      <c r="J362" s="68"/>
      <c r="K362" s="68"/>
      <c r="L362" s="74"/>
      <c r="M362" s="74">
        <v>300000</v>
      </c>
      <c r="N362" s="74"/>
      <c r="O362" s="75"/>
      <c r="P362" s="75"/>
      <c r="Q362" s="75">
        <f>SUM(Q363:Q376)</f>
        <v>400000</v>
      </c>
      <c r="R362" s="75"/>
      <c r="S362" s="75"/>
      <c r="T362" s="75"/>
      <c r="U362" s="75"/>
      <c r="V362" s="73"/>
      <c r="W362" s="73"/>
      <c r="X362" s="73"/>
    </row>
    <row r="363" spans="1:24" s="76" customFormat="1">
      <c r="A363" s="66"/>
      <c r="B363" s="103" t="s">
        <v>106</v>
      </c>
      <c r="C363" s="68" t="s">
        <v>509</v>
      </c>
      <c r="D363" s="68"/>
      <c r="E363" s="88"/>
      <c r="F363" s="68"/>
      <c r="G363" s="89"/>
      <c r="H363" s="89"/>
      <c r="I363" s="90"/>
      <c r="J363" s="68"/>
      <c r="K363" s="68"/>
      <c r="L363" s="74"/>
      <c r="M363" s="74"/>
      <c r="N363" s="74"/>
      <c r="O363" s="75"/>
      <c r="P363" s="75"/>
      <c r="Q363" s="75">
        <v>5000</v>
      </c>
      <c r="R363" s="75"/>
      <c r="S363" s="75"/>
      <c r="T363" s="75"/>
      <c r="U363" s="75"/>
      <c r="V363" s="73"/>
      <c r="W363" s="73"/>
      <c r="X363" s="73"/>
    </row>
    <row r="364" spans="1:24" s="76" customFormat="1" ht="42">
      <c r="A364" s="66"/>
      <c r="B364" s="103" t="s">
        <v>106</v>
      </c>
      <c r="C364" s="68" t="s">
        <v>510</v>
      </c>
      <c r="D364" s="68"/>
      <c r="E364" s="88"/>
      <c r="F364" s="68"/>
      <c r="G364" s="89"/>
      <c r="H364" s="89"/>
      <c r="I364" s="90"/>
      <c r="J364" s="68"/>
      <c r="K364" s="68"/>
      <c r="L364" s="74"/>
      <c r="M364" s="74"/>
      <c r="N364" s="74"/>
      <c r="O364" s="75"/>
      <c r="P364" s="75"/>
      <c r="Q364" s="75">
        <f>3000*5</f>
        <v>15000</v>
      </c>
      <c r="R364" s="75"/>
      <c r="S364" s="75"/>
      <c r="T364" s="75"/>
      <c r="U364" s="75"/>
      <c r="V364" s="73"/>
      <c r="W364" s="73"/>
      <c r="X364" s="73"/>
    </row>
    <row r="365" spans="1:24" s="76" customFormat="1" ht="42">
      <c r="A365" s="66"/>
      <c r="B365" s="103" t="s">
        <v>106</v>
      </c>
      <c r="C365" s="68" t="s">
        <v>511</v>
      </c>
      <c r="D365" s="68"/>
      <c r="E365" s="88"/>
      <c r="F365" s="68"/>
      <c r="G365" s="89"/>
      <c r="H365" s="89"/>
      <c r="I365" s="90"/>
      <c r="J365" s="68"/>
      <c r="K365" s="68"/>
      <c r="L365" s="74"/>
      <c r="M365" s="74"/>
      <c r="N365" s="74"/>
      <c r="O365" s="75"/>
      <c r="P365" s="75"/>
      <c r="Q365" s="75">
        <f>15000*12</f>
        <v>180000</v>
      </c>
      <c r="R365" s="75"/>
      <c r="S365" s="75"/>
      <c r="T365" s="75"/>
      <c r="U365" s="75"/>
      <c r="V365" s="73"/>
      <c r="W365" s="73"/>
      <c r="X365" s="73"/>
    </row>
    <row r="366" spans="1:24" s="76" customFormat="1" ht="42">
      <c r="A366" s="66"/>
      <c r="B366" s="103" t="s">
        <v>106</v>
      </c>
      <c r="C366" s="68" t="s">
        <v>512</v>
      </c>
      <c r="D366" s="68"/>
      <c r="E366" s="88"/>
      <c r="F366" s="68"/>
      <c r="G366" s="89"/>
      <c r="H366" s="89"/>
      <c r="I366" s="90"/>
      <c r="J366" s="68"/>
      <c r="K366" s="68"/>
      <c r="L366" s="74"/>
      <c r="M366" s="74"/>
      <c r="N366" s="74"/>
      <c r="O366" s="75"/>
      <c r="P366" s="75"/>
      <c r="Q366" s="75">
        <v>0</v>
      </c>
      <c r="R366" s="75"/>
      <c r="S366" s="75"/>
      <c r="T366" s="75"/>
      <c r="U366" s="75"/>
      <c r="V366" s="73"/>
      <c r="W366" s="73"/>
      <c r="X366" s="73"/>
    </row>
    <row r="367" spans="1:24" s="76" customFormat="1">
      <c r="A367" s="66"/>
      <c r="B367" s="103" t="s">
        <v>106</v>
      </c>
      <c r="C367" s="68" t="s">
        <v>513</v>
      </c>
      <c r="D367" s="68"/>
      <c r="E367" s="88"/>
      <c r="F367" s="68"/>
      <c r="G367" s="89"/>
      <c r="H367" s="89"/>
      <c r="I367" s="90"/>
      <c r="J367" s="68"/>
      <c r="K367" s="68"/>
      <c r="L367" s="74"/>
      <c r="M367" s="74"/>
      <c r="N367" s="74"/>
      <c r="O367" s="75"/>
      <c r="P367" s="75"/>
      <c r="Q367" s="75">
        <v>60000</v>
      </c>
      <c r="R367" s="75"/>
      <c r="S367" s="75"/>
      <c r="T367" s="75"/>
      <c r="U367" s="75"/>
      <c r="V367" s="73"/>
      <c r="W367" s="73"/>
      <c r="X367" s="73"/>
    </row>
    <row r="368" spans="1:24" s="76" customFormat="1">
      <c r="A368" s="66"/>
      <c r="B368" s="103" t="s">
        <v>106</v>
      </c>
      <c r="C368" s="68" t="s">
        <v>514</v>
      </c>
      <c r="D368" s="68"/>
      <c r="E368" s="88"/>
      <c r="F368" s="68"/>
      <c r="G368" s="89"/>
      <c r="H368" s="89"/>
      <c r="I368" s="90"/>
      <c r="J368" s="68"/>
      <c r="K368" s="68"/>
      <c r="L368" s="74"/>
      <c r="M368" s="74"/>
      <c r="N368" s="74"/>
      <c r="O368" s="75"/>
      <c r="P368" s="75"/>
      <c r="Q368" s="75">
        <v>50000</v>
      </c>
      <c r="R368" s="75"/>
      <c r="S368" s="75"/>
      <c r="T368" s="75"/>
      <c r="U368" s="75"/>
      <c r="V368" s="73"/>
      <c r="W368" s="73"/>
      <c r="X368" s="73"/>
    </row>
    <row r="369" spans="1:24" s="76" customFormat="1">
      <c r="A369" s="66"/>
      <c r="B369" s="103" t="s">
        <v>106</v>
      </c>
      <c r="C369" s="68" t="s">
        <v>76</v>
      </c>
      <c r="D369" s="68"/>
      <c r="E369" s="88"/>
      <c r="F369" s="68"/>
      <c r="G369" s="89"/>
      <c r="H369" s="89"/>
      <c r="I369" s="90"/>
      <c r="J369" s="68"/>
      <c r="K369" s="68"/>
      <c r="L369" s="74"/>
      <c r="M369" s="74"/>
      <c r="N369" s="74"/>
      <c r="O369" s="75"/>
      <c r="P369" s="75"/>
      <c r="Q369" s="75">
        <v>10000</v>
      </c>
      <c r="R369" s="75"/>
      <c r="S369" s="75"/>
      <c r="T369" s="75"/>
      <c r="U369" s="75"/>
      <c r="V369" s="73"/>
      <c r="W369" s="73"/>
      <c r="X369" s="73"/>
    </row>
    <row r="370" spans="1:24" s="76" customFormat="1">
      <c r="A370" s="66"/>
      <c r="B370" s="103" t="s">
        <v>106</v>
      </c>
      <c r="C370" s="68" t="s">
        <v>515</v>
      </c>
      <c r="D370" s="68"/>
      <c r="E370" s="88"/>
      <c r="F370" s="68"/>
      <c r="G370" s="89"/>
      <c r="H370" s="89"/>
      <c r="I370" s="90"/>
      <c r="J370" s="68"/>
      <c r="K370" s="68"/>
      <c r="L370" s="74"/>
      <c r="M370" s="74"/>
      <c r="N370" s="74"/>
      <c r="O370" s="75"/>
      <c r="P370" s="75"/>
      <c r="Q370" s="75">
        <v>30000</v>
      </c>
      <c r="R370" s="75"/>
      <c r="S370" s="75"/>
      <c r="T370" s="75"/>
      <c r="U370" s="75"/>
      <c r="V370" s="73"/>
      <c r="W370" s="73"/>
      <c r="X370" s="73"/>
    </row>
    <row r="371" spans="1:24" s="76" customFormat="1">
      <c r="A371" s="66"/>
      <c r="B371" s="103" t="s">
        <v>106</v>
      </c>
      <c r="C371" s="68" t="s">
        <v>78</v>
      </c>
      <c r="D371" s="68"/>
      <c r="E371" s="88"/>
      <c r="F371" s="68"/>
      <c r="G371" s="89"/>
      <c r="H371" s="89"/>
      <c r="I371" s="90"/>
      <c r="J371" s="68"/>
      <c r="K371" s="68"/>
      <c r="L371" s="74"/>
      <c r="M371" s="74"/>
      <c r="N371" s="74"/>
      <c r="O371" s="75"/>
      <c r="P371" s="75"/>
      <c r="Q371" s="75">
        <v>0</v>
      </c>
      <c r="R371" s="75"/>
      <c r="S371" s="75"/>
      <c r="T371" s="75"/>
      <c r="U371" s="75"/>
      <c r="V371" s="73"/>
      <c r="W371" s="73"/>
      <c r="X371" s="73"/>
    </row>
    <row r="372" spans="1:24" s="76" customFormat="1">
      <c r="A372" s="66"/>
      <c r="B372" s="103" t="s">
        <v>106</v>
      </c>
      <c r="C372" s="68" t="s">
        <v>516</v>
      </c>
      <c r="D372" s="68"/>
      <c r="E372" s="88"/>
      <c r="F372" s="68"/>
      <c r="G372" s="89"/>
      <c r="H372" s="89"/>
      <c r="I372" s="90"/>
      <c r="J372" s="68"/>
      <c r="K372" s="68"/>
      <c r="L372" s="74"/>
      <c r="M372" s="74"/>
      <c r="N372" s="74"/>
      <c r="O372" s="75"/>
      <c r="P372" s="75"/>
      <c r="Q372" s="75">
        <v>50000</v>
      </c>
      <c r="R372" s="75"/>
      <c r="S372" s="75"/>
      <c r="T372" s="75"/>
      <c r="U372" s="75"/>
      <c r="V372" s="73"/>
      <c r="W372" s="73"/>
      <c r="X372" s="73"/>
    </row>
    <row r="373" spans="1:24" s="263" customFormat="1" ht="31.5">
      <c r="A373" s="258" t="s">
        <v>598</v>
      </c>
      <c r="B373" s="259"/>
      <c r="C373" s="260"/>
      <c r="D373" s="260"/>
      <c r="E373" s="260"/>
      <c r="F373" s="260"/>
      <c r="G373" s="260"/>
      <c r="H373" s="260"/>
      <c r="I373" s="260"/>
      <c r="J373" s="260"/>
      <c r="K373" s="260"/>
      <c r="L373" s="260"/>
      <c r="M373" s="350">
        <f>SUM(M374)</f>
        <v>1480000</v>
      </c>
      <c r="N373" s="259"/>
      <c r="O373" s="259"/>
      <c r="P373" s="260"/>
      <c r="Q373" s="260"/>
      <c r="R373" s="260"/>
      <c r="S373" s="260"/>
      <c r="T373" s="260"/>
      <c r="U373" s="260"/>
      <c r="V373" s="260"/>
      <c r="W373" s="260"/>
      <c r="X373" s="262"/>
    </row>
    <row r="374" spans="1:24" s="179" customFormat="1" ht="23.25">
      <c r="A374" s="356" t="s">
        <v>599</v>
      </c>
      <c r="B374" s="176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357">
        <f>SUM(M375:M376)</f>
        <v>1480000</v>
      </c>
      <c r="N374" s="357" t="s">
        <v>546</v>
      </c>
      <c r="O374" s="358"/>
      <c r="P374" s="358"/>
      <c r="Q374" s="358"/>
      <c r="R374" s="358"/>
      <c r="S374" s="358"/>
      <c r="T374" s="358"/>
      <c r="U374" s="358"/>
      <c r="V374" s="358"/>
      <c r="W374" s="358"/>
      <c r="X374" s="359"/>
    </row>
    <row r="375" spans="1:24" s="547" customFormat="1" ht="91.5" customHeight="1">
      <c r="A375" s="543" t="s">
        <v>407</v>
      </c>
      <c r="B375" s="491" t="s">
        <v>577</v>
      </c>
      <c r="C375" s="491" t="s">
        <v>594</v>
      </c>
      <c r="D375" s="491"/>
      <c r="E375" s="491"/>
      <c r="F375" s="491"/>
      <c r="G375" s="491"/>
      <c r="H375" s="491"/>
      <c r="I375" s="491"/>
      <c r="J375" s="491"/>
      <c r="K375" s="491"/>
      <c r="L375" s="491"/>
      <c r="M375" s="556">
        <f>N375+O375+S375+T375+W375+X375</f>
        <v>980000</v>
      </c>
      <c r="N375" s="533">
        <v>0</v>
      </c>
      <c r="O375" s="533">
        <v>0</v>
      </c>
      <c r="P375" s="533">
        <v>0</v>
      </c>
      <c r="Q375" s="554">
        <v>0</v>
      </c>
      <c r="R375" s="533">
        <v>0</v>
      </c>
      <c r="S375" s="533">
        <v>0</v>
      </c>
      <c r="T375" s="533">
        <v>0</v>
      </c>
      <c r="U375" s="569">
        <v>980000</v>
      </c>
      <c r="V375" s="533">
        <v>0</v>
      </c>
      <c r="W375" s="533">
        <f>U375+V375</f>
        <v>980000</v>
      </c>
      <c r="X375" s="533">
        <v>0</v>
      </c>
    </row>
    <row r="376" spans="1:24" s="547" customFormat="1" ht="64.5" customHeight="1">
      <c r="A376" s="558" t="s">
        <v>409</v>
      </c>
      <c r="B376" s="491" t="s">
        <v>577</v>
      </c>
      <c r="C376" s="491" t="s">
        <v>595</v>
      </c>
      <c r="D376" s="491"/>
      <c r="E376" s="491"/>
      <c r="F376" s="491"/>
      <c r="G376" s="491"/>
      <c r="H376" s="491"/>
      <c r="I376" s="491"/>
      <c r="J376" s="491"/>
      <c r="K376" s="491"/>
      <c r="L376" s="491"/>
      <c r="M376" s="569">
        <v>500000</v>
      </c>
      <c r="N376" s="533">
        <v>0</v>
      </c>
      <c r="O376" s="533">
        <v>0</v>
      </c>
      <c r="P376" s="533">
        <v>0</v>
      </c>
      <c r="Q376" s="554">
        <v>0</v>
      </c>
      <c r="R376" s="533">
        <v>0</v>
      </c>
      <c r="S376" s="533">
        <v>0</v>
      </c>
      <c r="T376" s="533">
        <v>0</v>
      </c>
      <c r="U376" s="569">
        <v>0</v>
      </c>
      <c r="V376" s="569">
        <v>500000</v>
      </c>
      <c r="W376" s="533">
        <f>U376+V376</f>
        <v>500000</v>
      </c>
      <c r="X376" s="533">
        <v>0</v>
      </c>
    </row>
    <row r="377" spans="1:24" s="413" customFormat="1" ht="64.5" customHeight="1">
      <c r="A377" s="565"/>
      <c r="B377" s="566"/>
      <c r="C377" s="492"/>
      <c r="D377" s="492"/>
      <c r="E377" s="492"/>
      <c r="F377" s="492"/>
      <c r="G377" s="492"/>
      <c r="H377" s="492"/>
      <c r="I377" s="492"/>
      <c r="J377" s="492"/>
      <c r="K377" s="492"/>
      <c r="L377" s="492"/>
      <c r="M377" s="343"/>
      <c r="N377" s="567"/>
      <c r="O377" s="567"/>
      <c r="P377" s="567"/>
      <c r="Q377" s="568"/>
      <c r="R377" s="567"/>
      <c r="S377" s="567"/>
      <c r="T377" s="567"/>
      <c r="U377" s="343"/>
      <c r="V377" s="343"/>
      <c r="W377" s="567"/>
      <c r="X377" s="567"/>
    </row>
    <row r="378" spans="1:24" s="413" customFormat="1" ht="64.5" customHeight="1">
      <c r="A378" s="565"/>
      <c r="B378" s="566"/>
      <c r="C378" s="492"/>
      <c r="D378" s="492"/>
      <c r="E378" s="492"/>
      <c r="F378" s="492"/>
      <c r="G378" s="492"/>
      <c r="H378" s="492"/>
      <c r="I378" s="492"/>
      <c r="J378" s="492"/>
      <c r="K378" s="492"/>
      <c r="L378" s="492"/>
      <c r="M378" s="343"/>
      <c r="N378" s="567"/>
      <c r="O378" s="567"/>
      <c r="P378" s="567"/>
      <c r="Q378" s="568"/>
      <c r="R378" s="567"/>
      <c r="S378" s="567"/>
      <c r="T378" s="567"/>
      <c r="U378" s="343"/>
      <c r="V378" s="343"/>
      <c r="W378" s="567"/>
      <c r="X378" s="567"/>
    </row>
    <row r="380" spans="1:24" ht="84">
      <c r="C380" s="281" t="s">
        <v>517</v>
      </c>
      <c r="D380" s="281"/>
      <c r="E380" s="281"/>
      <c r="F380" s="281"/>
      <c r="G380" s="281"/>
      <c r="H380" s="281"/>
      <c r="I380" s="281"/>
      <c r="J380" s="281"/>
      <c r="K380" s="281"/>
      <c r="L380" s="281"/>
      <c r="M380" s="281" t="s">
        <v>518</v>
      </c>
      <c r="N380" s="281" t="s">
        <v>519</v>
      </c>
      <c r="O380" s="281" t="s">
        <v>520</v>
      </c>
      <c r="P380" s="281" t="s">
        <v>519</v>
      </c>
      <c r="Q380" s="281" t="s">
        <v>521</v>
      </c>
      <c r="R380" s="281" t="s">
        <v>519</v>
      </c>
      <c r="S380" s="281" t="s">
        <v>522</v>
      </c>
      <c r="T380" s="281" t="s">
        <v>523</v>
      </c>
      <c r="U380" s="281" t="s">
        <v>524</v>
      </c>
      <c r="V380" s="282" t="s">
        <v>37</v>
      </c>
    </row>
    <row r="381" spans="1:24">
      <c r="C381" s="283" t="s">
        <v>525</v>
      </c>
      <c r="D381" s="284"/>
      <c r="E381" s="284"/>
      <c r="F381" s="284"/>
      <c r="G381" s="284"/>
      <c r="H381" s="284"/>
      <c r="I381" s="284"/>
      <c r="J381" s="284"/>
      <c r="K381" s="284"/>
      <c r="L381" s="284"/>
      <c r="M381" s="285">
        <f>M11+M12+M66+M68</f>
        <v>22812100</v>
      </c>
      <c r="N381" s="285">
        <f>M381/S381*100</f>
        <v>67.145363246228015</v>
      </c>
      <c r="O381" s="285">
        <f>M95+M133+M171</f>
        <v>11162100</v>
      </c>
      <c r="P381" s="285">
        <f>O381/S381*100</f>
        <v>32.854636753771985</v>
      </c>
      <c r="Q381" s="285">
        <v>0</v>
      </c>
      <c r="R381" s="285">
        <v>0</v>
      </c>
      <c r="S381" s="286">
        <f>M381+O381+Q381</f>
        <v>33974200</v>
      </c>
      <c r="T381" s="287">
        <f>S381/S385*100</f>
        <v>83.040312468683481</v>
      </c>
      <c r="U381" s="281">
        <v>85</v>
      </c>
      <c r="V381" s="288">
        <f>U381-T381</f>
        <v>1.9596875313165185</v>
      </c>
    </row>
    <row r="382" spans="1:24">
      <c r="C382" s="283" t="s">
        <v>526</v>
      </c>
      <c r="D382" s="284"/>
      <c r="E382" s="284"/>
      <c r="F382" s="284"/>
      <c r="G382" s="284"/>
      <c r="H382" s="284"/>
      <c r="I382" s="284"/>
      <c r="J382" s="284"/>
      <c r="K382" s="284"/>
      <c r="L382" s="284"/>
      <c r="M382" s="285">
        <f>M301</f>
        <v>3806000</v>
      </c>
      <c r="N382" s="285">
        <f>M382/S382*100</f>
        <v>90.168206586117037</v>
      </c>
      <c r="O382" s="285">
        <f>M309</f>
        <v>415000</v>
      </c>
      <c r="P382" s="285">
        <f>O382/S382*100</f>
        <v>9.8317934138829663</v>
      </c>
      <c r="Q382" s="285">
        <v>0</v>
      </c>
      <c r="R382" s="285">
        <v>0</v>
      </c>
      <c r="S382" s="286">
        <f>M382+O382+Q382</f>
        <v>4221000</v>
      </c>
      <c r="T382" s="287">
        <f>S382/S385*100</f>
        <v>10.317039369000975</v>
      </c>
      <c r="U382" s="281">
        <v>10</v>
      </c>
      <c r="V382" s="288">
        <f>U382-T382</f>
        <v>-0.31703936900097496</v>
      </c>
    </row>
    <row r="383" spans="1:24">
      <c r="C383" s="283" t="s">
        <v>527</v>
      </c>
      <c r="D383" s="284"/>
      <c r="E383" s="284"/>
      <c r="F383" s="284"/>
      <c r="G383" s="284"/>
      <c r="H383" s="284"/>
      <c r="I383" s="284"/>
      <c r="J383" s="284"/>
      <c r="K383" s="284"/>
      <c r="L383" s="284"/>
      <c r="M383" s="285">
        <f>M316</f>
        <v>1887700</v>
      </c>
      <c r="N383" s="285">
        <f>M383/S383*100</f>
        <v>98.435626010324867</v>
      </c>
      <c r="O383" s="285">
        <f>M328</f>
        <v>30000</v>
      </c>
      <c r="P383" s="285">
        <f>O383/S383*100</f>
        <v>1.5643739896751316</v>
      </c>
      <c r="Q383" s="285">
        <v>0</v>
      </c>
      <c r="R383" s="285">
        <v>0</v>
      </c>
      <c r="S383" s="286">
        <f>M383+O383+Q383</f>
        <v>1917700</v>
      </c>
      <c r="T383" s="287">
        <f>S383/S385*100</f>
        <v>4.6872746737581545</v>
      </c>
      <c r="U383" s="281">
        <v>4</v>
      </c>
      <c r="V383" s="288">
        <f>U383-T383</f>
        <v>-0.68727467375815454</v>
      </c>
    </row>
    <row r="384" spans="1:24">
      <c r="C384" s="283" t="s">
        <v>528</v>
      </c>
      <c r="D384" s="284"/>
      <c r="E384" s="284"/>
      <c r="F384" s="284"/>
      <c r="G384" s="284"/>
      <c r="H384" s="284"/>
      <c r="I384" s="284"/>
      <c r="J384" s="284"/>
      <c r="K384" s="284"/>
      <c r="L384" s="284"/>
      <c r="M384" s="285">
        <f>M333</f>
        <v>480000</v>
      </c>
      <c r="N384" s="285">
        <f>M384/S384*100</f>
        <v>60</v>
      </c>
      <c r="O384" s="285">
        <f>M356</f>
        <v>320000</v>
      </c>
      <c r="P384" s="285">
        <f>O384/S384*100</f>
        <v>40</v>
      </c>
      <c r="Q384" s="285">
        <v>0</v>
      </c>
      <c r="R384" s="285">
        <v>0</v>
      </c>
      <c r="S384" s="286">
        <f>M384+O384+Q384</f>
        <v>800000</v>
      </c>
      <c r="T384" s="287">
        <f>S384/S385*100</f>
        <v>1.9553734885573988</v>
      </c>
      <c r="U384" s="281">
        <v>1</v>
      </c>
      <c r="V384" s="288">
        <f>U384-T384</f>
        <v>-0.95537348855739879</v>
      </c>
    </row>
    <row r="385" spans="1:24" ht="21.75" thickBot="1">
      <c r="C385" s="289" t="s">
        <v>522</v>
      </c>
      <c r="D385" s="290"/>
      <c r="E385" s="290"/>
      <c r="F385" s="290"/>
      <c r="G385" s="290"/>
      <c r="H385" s="290"/>
      <c r="I385" s="290"/>
      <c r="J385" s="290"/>
      <c r="K385" s="290"/>
      <c r="L385" s="290"/>
      <c r="M385" s="291"/>
      <c r="N385" s="291"/>
      <c r="O385" s="291"/>
      <c r="P385" s="291"/>
      <c r="Q385" s="291"/>
      <c r="R385" s="291"/>
      <c r="S385" s="292">
        <f>SUM(S381:S384)</f>
        <v>40912900</v>
      </c>
      <c r="T385" s="293">
        <f>SUM(T381:T384)</f>
        <v>100.00000000000001</v>
      </c>
      <c r="U385" s="289">
        <f>SUM(U381:U384)</f>
        <v>100</v>
      </c>
      <c r="V385" s="294" t="s">
        <v>34</v>
      </c>
    </row>
    <row r="386" spans="1:24" s="295" customFormat="1" ht="30" thickTop="1">
      <c r="A386" s="1329" t="s">
        <v>529</v>
      </c>
      <c r="B386" s="1329"/>
      <c r="C386" s="1329"/>
      <c r="D386" s="1329"/>
      <c r="E386" s="1329"/>
      <c r="F386" s="1329"/>
      <c r="G386" s="1329"/>
      <c r="H386" s="1329"/>
      <c r="I386" s="1329"/>
      <c r="J386" s="1329"/>
      <c r="K386" s="1329"/>
      <c r="L386" s="1329"/>
      <c r="M386" s="1329"/>
      <c r="N386" s="1329"/>
      <c r="O386" s="1329"/>
      <c r="P386" s="1329"/>
      <c r="Q386" s="1329"/>
      <c r="R386" s="1329"/>
      <c r="S386" s="1329"/>
      <c r="T386" s="1329"/>
      <c r="U386" s="1329"/>
      <c r="V386" s="1329"/>
      <c r="W386" s="1329"/>
      <c r="X386" s="1329"/>
    </row>
    <row r="387" spans="1:24" s="298" customFormat="1" ht="23.25">
      <c r="A387" s="296" t="s">
        <v>530</v>
      </c>
      <c r="B387" s="296" t="s">
        <v>531</v>
      </c>
      <c r="C387" s="296" t="s">
        <v>532</v>
      </c>
      <c r="D387" s="296"/>
      <c r="E387" s="296"/>
      <c r="F387" s="296"/>
      <c r="G387" s="296"/>
      <c r="H387" s="296"/>
      <c r="I387" s="296"/>
      <c r="J387" s="296"/>
      <c r="K387" s="296"/>
      <c r="L387" s="296"/>
      <c r="M387" s="296" t="s">
        <v>533</v>
      </c>
      <c r="N387" s="1330" t="s">
        <v>534</v>
      </c>
      <c r="O387" s="1330"/>
      <c r="P387" s="1330"/>
      <c r="Q387" s="1330"/>
      <c r="R387" s="1330"/>
      <c r="S387" s="1330"/>
      <c r="T387" s="297"/>
      <c r="U387" s="297"/>
      <c r="V387" s="297"/>
      <c r="W387" s="297"/>
      <c r="X387" s="297"/>
    </row>
    <row r="388" spans="1:24" s="301" customFormat="1" ht="84">
      <c r="A388" s="181" t="s">
        <v>178</v>
      </c>
      <c r="B388" s="199" t="s">
        <v>455</v>
      </c>
      <c r="C388" s="199" t="s">
        <v>535</v>
      </c>
      <c r="D388" s="250"/>
      <c r="E388" s="250"/>
      <c r="F388" s="250"/>
      <c r="G388" s="271"/>
      <c r="H388" s="271"/>
      <c r="I388" s="140" t="s">
        <v>57</v>
      </c>
      <c r="J388" s="250"/>
      <c r="K388" s="250"/>
      <c r="L388" s="100"/>
      <c r="M388" s="101">
        <f>SUM(M389:M390)</f>
        <v>300000</v>
      </c>
      <c r="N388" s="324" t="s">
        <v>536</v>
      </c>
      <c r="O388" s="325"/>
      <c r="P388" s="325"/>
      <c r="Q388" s="326"/>
      <c r="R388" s="325"/>
      <c r="S388" s="327"/>
      <c r="T388" s="299"/>
      <c r="U388" s="299"/>
      <c r="V388" s="300"/>
      <c r="W388" s="300"/>
      <c r="X388" s="300"/>
    </row>
    <row r="389" spans="1:24" s="301" customFormat="1">
      <c r="A389" s="181"/>
      <c r="B389" s="199"/>
      <c r="C389" s="302" t="s">
        <v>537</v>
      </c>
      <c r="D389" s="250"/>
      <c r="E389" s="250"/>
      <c r="F389" s="250"/>
      <c r="G389" s="271"/>
      <c r="H389" s="271"/>
      <c r="I389" s="140"/>
      <c r="J389" s="250"/>
      <c r="K389" s="250"/>
      <c r="L389" s="100"/>
      <c r="M389" s="101">
        <v>150000</v>
      </c>
      <c r="N389" s="328"/>
      <c r="O389" s="299"/>
      <c r="P389" s="299"/>
      <c r="R389" s="299"/>
      <c r="S389" s="329"/>
      <c r="T389" s="299"/>
      <c r="U389" s="299"/>
      <c r="V389" s="300"/>
      <c r="W389" s="300"/>
      <c r="X389" s="300"/>
    </row>
    <row r="390" spans="1:24" s="301" customFormat="1">
      <c r="A390" s="181"/>
      <c r="B390" s="199"/>
      <c r="C390" s="302" t="s">
        <v>283</v>
      </c>
      <c r="D390" s="250"/>
      <c r="E390" s="250"/>
      <c r="F390" s="250"/>
      <c r="G390" s="271"/>
      <c r="H390" s="271"/>
      <c r="I390" s="140"/>
      <c r="J390" s="250"/>
      <c r="K390" s="250"/>
      <c r="L390" s="100"/>
      <c r="M390" s="101">
        <v>150000</v>
      </c>
      <c r="N390" s="330"/>
      <c r="O390" s="331"/>
      <c r="P390" s="331"/>
      <c r="Q390" s="332"/>
      <c r="R390" s="331"/>
      <c r="S390" s="333"/>
      <c r="T390" s="299"/>
      <c r="U390" s="299"/>
      <c r="V390" s="300"/>
      <c r="W390" s="300"/>
      <c r="X390" s="300"/>
    </row>
    <row r="391" spans="1:24" s="304" customFormat="1" ht="63">
      <c r="A391" s="181" t="s">
        <v>127</v>
      </c>
      <c r="B391" s="52" t="s">
        <v>41</v>
      </c>
      <c r="C391" s="52" t="s">
        <v>538</v>
      </c>
      <c r="D391" s="138"/>
      <c r="E391" s="138"/>
      <c r="F391" s="303" t="s">
        <v>34</v>
      </c>
      <c r="G391" s="140"/>
      <c r="H391" s="140"/>
      <c r="I391" s="138"/>
      <c r="J391" s="138"/>
      <c r="K391" s="138"/>
      <c r="L391" s="92"/>
      <c r="M391" s="92">
        <v>286200</v>
      </c>
      <c r="N391" s="1383" t="s">
        <v>539</v>
      </c>
      <c r="O391" s="1383"/>
      <c r="P391" s="1383"/>
      <c r="Q391" s="1383"/>
      <c r="R391" s="1383"/>
      <c r="S391" s="1383"/>
      <c r="T391" s="300"/>
      <c r="U391" s="300"/>
      <c r="V391" s="300"/>
      <c r="W391" s="300"/>
      <c r="X391" s="300"/>
    </row>
    <row r="392" spans="1:24" s="301" customFormat="1" ht="84">
      <c r="A392" s="181" t="s">
        <v>131</v>
      </c>
      <c r="B392" s="199" t="s">
        <v>140</v>
      </c>
      <c r="C392" s="199" t="s">
        <v>540</v>
      </c>
      <c r="D392" s="250"/>
      <c r="E392" s="250"/>
      <c r="F392" s="250"/>
      <c r="G392" s="271"/>
      <c r="H392" s="271"/>
      <c r="I392" s="140" t="s">
        <v>57</v>
      </c>
      <c r="J392" s="250"/>
      <c r="K392" s="250"/>
      <c r="L392" s="100"/>
      <c r="M392" s="92">
        <v>60000</v>
      </c>
      <c r="N392" s="1384" t="s">
        <v>541</v>
      </c>
      <c r="O392" s="1384"/>
      <c r="P392" s="1384"/>
      <c r="Q392" s="1384"/>
      <c r="R392" s="1384"/>
      <c r="S392" s="1384"/>
      <c r="T392" s="300"/>
      <c r="U392" s="300"/>
      <c r="V392" s="300"/>
      <c r="W392" s="300"/>
      <c r="X392" s="300"/>
    </row>
    <row r="393" spans="1:24" s="301" customFormat="1" ht="63">
      <c r="A393" s="54">
        <v>4</v>
      </c>
      <c r="B393" s="52" t="s">
        <v>41</v>
      </c>
      <c r="C393" s="52" t="s">
        <v>542</v>
      </c>
      <c r="D393" s="138"/>
      <c r="E393" s="138"/>
      <c r="F393" s="138"/>
      <c r="G393" s="138"/>
      <c r="H393" s="138"/>
      <c r="I393" s="138"/>
      <c r="J393" s="138"/>
      <c r="K393" s="138"/>
      <c r="L393" s="138"/>
      <c r="M393" s="92">
        <v>980000</v>
      </c>
      <c r="N393" s="1383" t="s">
        <v>543</v>
      </c>
      <c r="O393" s="1383"/>
      <c r="P393" s="1383"/>
      <c r="Q393" s="1383"/>
      <c r="R393" s="1383"/>
      <c r="S393" s="1383"/>
      <c r="T393" s="304"/>
      <c r="U393" s="304"/>
      <c r="V393" s="304"/>
      <c r="W393" s="304"/>
      <c r="X393" s="304"/>
    </row>
    <row r="394" spans="1:24" s="301" customFormat="1" ht="63">
      <c r="A394" s="54">
        <v>5</v>
      </c>
      <c r="B394" s="52" t="s">
        <v>41</v>
      </c>
      <c r="C394" s="52" t="s">
        <v>544</v>
      </c>
      <c r="D394" s="138"/>
      <c r="E394" s="138"/>
      <c r="F394" s="138"/>
      <c r="G394" s="138"/>
      <c r="H394" s="138"/>
      <c r="I394" s="138"/>
      <c r="J394" s="138"/>
      <c r="K394" s="138"/>
      <c r="L394" s="138"/>
      <c r="M394" s="92">
        <v>100000</v>
      </c>
      <c r="N394" s="1383" t="s">
        <v>543</v>
      </c>
      <c r="O394" s="1383"/>
      <c r="P394" s="1383"/>
      <c r="Q394" s="1383"/>
      <c r="R394" s="1383"/>
      <c r="S394" s="1383"/>
      <c r="T394" s="304"/>
      <c r="U394" s="304"/>
      <c r="V394" s="304"/>
      <c r="W394" s="304"/>
      <c r="X394" s="304"/>
    </row>
    <row r="395" spans="1:24" s="301" customFormat="1" ht="63">
      <c r="A395" s="54">
        <v>6</v>
      </c>
      <c r="B395" s="52" t="s">
        <v>41</v>
      </c>
      <c r="C395" s="52" t="s">
        <v>545</v>
      </c>
      <c r="D395" s="138"/>
      <c r="E395" s="138"/>
      <c r="F395" s="138"/>
      <c r="G395" s="138"/>
      <c r="H395" s="138"/>
      <c r="I395" s="138"/>
      <c r="J395" s="138"/>
      <c r="K395" s="138"/>
      <c r="L395" s="138"/>
      <c r="M395" s="92">
        <v>100000</v>
      </c>
      <c r="N395" s="1383" t="s">
        <v>543</v>
      </c>
      <c r="O395" s="1383"/>
      <c r="P395" s="1383"/>
      <c r="Q395" s="1383"/>
      <c r="R395" s="1383"/>
      <c r="S395" s="1383"/>
      <c r="T395" s="304"/>
      <c r="U395" s="304"/>
      <c r="V395" s="304"/>
      <c r="W395" s="304"/>
      <c r="X395" s="304"/>
    </row>
    <row r="396" spans="1:24" s="295" customFormat="1">
      <c r="A396" s="305"/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</row>
    <row r="397" spans="1:24" s="307" customFormat="1">
      <c r="A397" s="280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</sheetData>
  <mergeCells count="26">
    <mergeCell ref="W1:X1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P3:X3"/>
    <mergeCell ref="P4:S4"/>
    <mergeCell ref="T4:T5"/>
    <mergeCell ref="U4:W4"/>
    <mergeCell ref="X4:X5"/>
    <mergeCell ref="N395:S395"/>
    <mergeCell ref="A386:X386"/>
    <mergeCell ref="N387:S387"/>
    <mergeCell ref="N391:S391"/>
    <mergeCell ref="N392:S392"/>
    <mergeCell ref="N393:S393"/>
    <mergeCell ref="N394:S394"/>
    <mergeCell ref="B290:B291"/>
  </mergeCells>
  <printOptions horizontalCentered="1"/>
  <pageMargins left="0.11811023622047245" right="0.11811023622047245" top="0.55118110236220474" bottom="0.55118110236220474" header="0.11811023622047245" footer="0.11811023622047245"/>
  <pageSetup paperSize="9" scale="6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44"/>
  <sheetViews>
    <sheetView topLeftCell="A4" workbookViewId="0">
      <pane ySplit="2" topLeftCell="A47" activePane="bottomLeft" state="frozen"/>
      <selection activeCell="A4" sqref="A4"/>
      <selection pane="bottomLeft" activeCell="X51" sqref="X51"/>
    </sheetView>
  </sheetViews>
  <sheetFormatPr defaultColWidth="9" defaultRowHeight="21"/>
  <cols>
    <col min="1" max="1" width="6.25" style="280" customWidth="1"/>
    <col min="2" max="2" width="10.125" style="3" customWidth="1"/>
    <col min="3" max="3" width="29.375" style="3" customWidth="1"/>
    <col min="4" max="12" width="0" style="3" hidden="1" customWidth="1"/>
    <col min="13" max="13" width="14.75" style="3" customWidth="1"/>
    <col min="14" max="14" width="11" style="3" customWidth="1"/>
    <col min="15" max="15" width="11.125" style="3" customWidth="1"/>
    <col min="16" max="16" width="9.75" style="3" customWidth="1"/>
    <col min="17" max="17" width="10.375" style="3" customWidth="1"/>
    <col min="18" max="19" width="9.625" style="3" customWidth="1"/>
    <col min="20" max="20" width="10.875" style="3" customWidth="1"/>
    <col min="21" max="21" width="9.375" style="3" customWidth="1"/>
    <col min="22" max="22" width="10.25" style="3" customWidth="1"/>
    <col min="23" max="23" width="9.75" style="3" customWidth="1"/>
    <col min="24" max="24" width="9.25" style="3" customWidth="1"/>
    <col min="25" max="256" width="9" style="3"/>
    <col min="257" max="257" width="6.25" style="3" customWidth="1"/>
    <col min="258" max="258" width="10.125" style="3" customWidth="1"/>
    <col min="259" max="259" width="29.375" style="3" customWidth="1"/>
    <col min="260" max="268" width="0" style="3" hidden="1" customWidth="1"/>
    <col min="269" max="269" width="14.75" style="3" customWidth="1"/>
    <col min="270" max="270" width="11" style="3" customWidth="1"/>
    <col min="271" max="271" width="11.125" style="3" customWidth="1"/>
    <col min="272" max="272" width="9.75" style="3" customWidth="1"/>
    <col min="273" max="273" width="10.375" style="3" customWidth="1"/>
    <col min="274" max="275" width="9.625" style="3" customWidth="1"/>
    <col min="276" max="276" width="10.875" style="3" customWidth="1"/>
    <col min="277" max="277" width="9.375" style="3" customWidth="1"/>
    <col min="278" max="278" width="10.25" style="3" customWidth="1"/>
    <col min="279" max="279" width="9.75" style="3" customWidth="1"/>
    <col min="280" max="280" width="9.25" style="3" customWidth="1"/>
    <col min="281" max="512" width="9" style="3"/>
    <col min="513" max="513" width="6.25" style="3" customWidth="1"/>
    <col min="514" max="514" width="10.125" style="3" customWidth="1"/>
    <col min="515" max="515" width="29.375" style="3" customWidth="1"/>
    <col min="516" max="524" width="0" style="3" hidden="1" customWidth="1"/>
    <col min="525" max="525" width="14.75" style="3" customWidth="1"/>
    <col min="526" max="526" width="11" style="3" customWidth="1"/>
    <col min="527" max="527" width="11.125" style="3" customWidth="1"/>
    <col min="528" max="528" width="9.75" style="3" customWidth="1"/>
    <col min="529" max="529" width="10.375" style="3" customWidth="1"/>
    <col min="530" max="531" width="9.625" style="3" customWidth="1"/>
    <col min="532" max="532" width="10.875" style="3" customWidth="1"/>
    <col min="533" max="533" width="9.375" style="3" customWidth="1"/>
    <col min="534" max="534" width="10.25" style="3" customWidth="1"/>
    <col min="535" max="535" width="9.75" style="3" customWidth="1"/>
    <col min="536" max="536" width="9.25" style="3" customWidth="1"/>
    <col min="537" max="768" width="9" style="3"/>
    <col min="769" max="769" width="6.25" style="3" customWidth="1"/>
    <col min="770" max="770" width="10.125" style="3" customWidth="1"/>
    <col min="771" max="771" width="29.375" style="3" customWidth="1"/>
    <col min="772" max="780" width="0" style="3" hidden="1" customWidth="1"/>
    <col min="781" max="781" width="14.75" style="3" customWidth="1"/>
    <col min="782" max="782" width="11" style="3" customWidth="1"/>
    <col min="783" max="783" width="11.125" style="3" customWidth="1"/>
    <col min="784" max="784" width="9.75" style="3" customWidth="1"/>
    <col min="785" max="785" width="10.375" style="3" customWidth="1"/>
    <col min="786" max="787" width="9.625" style="3" customWidth="1"/>
    <col min="788" max="788" width="10.875" style="3" customWidth="1"/>
    <col min="789" max="789" width="9.375" style="3" customWidth="1"/>
    <col min="790" max="790" width="10.25" style="3" customWidth="1"/>
    <col min="791" max="791" width="9.75" style="3" customWidth="1"/>
    <col min="792" max="792" width="9.25" style="3" customWidth="1"/>
    <col min="793" max="1024" width="9" style="3"/>
    <col min="1025" max="1025" width="6.25" style="3" customWidth="1"/>
    <col min="1026" max="1026" width="10.125" style="3" customWidth="1"/>
    <col min="1027" max="1027" width="29.375" style="3" customWidth="1"/>
    <col min="1028" max="1036" width="0" style="3" hidden="1" customWidth="1"/>
    <col min="1037" max="1037" width="14.75" style="3" customWidth="1"/>
    <col min="1038" max="1038" width="11" style="3" customWidth="1"/>
    <col min="1039" max="1039" width="11.125" style="3" customWidth="1"/>
    <col min="1040" max="1040" width="9.75" style="3" customWidth="1"/>
    <col min="1041" max="1041" width="10.375" style="3" customWidth="1"/>
    <col min="1042" max="1043" width="9.625" style="3" customWidth="1"/>
    <col min="1044" max="1044" width="10.875" style="3" customWidth="1"/>
    <col min="1045" max="1045" width="9.375" style="3" customWidth="1"/>
    <col min="1046" max="1046" width="10.25" style="3" customWidth="1"/>
    <col min="1047" max="1047" width="9.75" style="3" customWidth="1"/>
    <col min="1048" max="1048" width="9.25" style="3" customWidth="1"/>
    <col min="1049" max="1280" width="9" style="3"/>
    <col min="1281" max="1281" width="6.25" style="3" customWidth="1"/>
    <col min="1282" max="1282" width="10.125" style="3" customWidth="1"/>
    <col min="1283" max="1283" width="29.375" style="3" customWidth="1"/>
    <col min="1284" max="1292" width="0" style="3" hidden="1" customWidth="1"/>
    <col min="1293" max="1293" width="14.75" style="3" customWidth="1"/>
    <col min="1294" max="1294" width="11" style="3" customWidth="1"/>
    <col min="1295" max="1295" width="11.125" style="3" customWidth="1"/>
    <col min="1296" max="1296" width="9.75" style="3" customWidth="1"/>
    <col min="1297" max="1297" width="10.375" style="3" customWidth="1"/>
    <col min="1298" max="1299" width="9.625" style="3" customWidth="1"/>
    <col min="1300" max="1300" width="10.875" style="3" customWidth="1"/>
    <col min="1301" max="1301" width="9.375" style="3" customWidth="1"/>
    <col min="1302" max="1302" width="10.25" style="3" customWidth="1"/>
    <col min="1303" max="1303" width="9.75" style="3" customWidth="1"/>
    <col min="1304" max="1304" width="9.25" style="3" customWidth="1"/>
    <col min="1305" max="1536" width="9" style="3"/>
    <col min="1537" max="1537" width="6.25" style="3" customWidth="1"/>
    <col min="1538" max="1538" width="10.125" style="3" customWidth="1"/>
    <col min="1539" max="1539" width="29.375" style="3" customWidth="1"/>
    <col min="1540" max="1548" width="0" style="3" hidden="1" customWidth="1"/>
    <col min="1549" max="1549" width="14.75" style="3" customWidth="1"/>
    <col min="1550" max="1550" width="11" style="3" customWidth="1"/>
    <col min="1551" max="1551" width="11.125" style="3" customWidth="1"/>
    <col min="1552" max="1552" width="9.75" style="3" customWidth="1"/>
    <col min="1553" max="1553" width="10.375" style="3" customWidth="1"/>
    <col min="1554" max="1555" width="9.625" style="3" customWidth="1"/>
    <col min="1556" max="1556" width="10.875" style="3" customWidth="1"/>
    <col min="1557" max="1557" width="9.375" style="3" customWidth="1"/>
    <col min="1558" max="1558" width="10.25" style="3" customWidth="1"/>
    <col min="1559" max="1559" width="9.75" style="3" customWidth="1"/>
    <col min="1560" max="1560" width="9.25" style="3" customWidth="1"/>
    <col min="1561" max="1792" width="9" style="3"/>
    <col min="1793" max="1793" width="6.25" style="3" customWidth="1"/>
    <col min="1794" max="1794" width="10.125" style="3" customWidth="1"/>
    <col min="1795" max="1795" width="29.375" style="3" customWidth="1"/>
    <col min="1796" max="1804" width="0" style="3" hidden="1" customWidth="1"/>
    <col min="1805" max="1805" width="14.75" style="3" customWidth="1"/>
    <col min="1806" max="1806" width="11" style="3" customWidth="1"/>
    <col min="1807" max="1807" width="11.125" style="3" customWidth="1"/>
    <col min="1808" max="1808" width="9.75" style="3" customWidth="1"/>
    <col min="1809" max="1809" width="10.375" style="3" customWidth="1"/>
    <col min="1810" max="1811" width="9.625" style="3" customWidth="1"/>
    <col min="1812" max="1812" width="10.875" style="3" customWidth="1"/>
    <col min="1813" max="1813" width="9.375" style="3" customWidth="1"/>
    <col min="1814" max="1814" width="10.25" style="3" customWidth="1"/>
    <col min="1815" max="1815" width="9.75" style="3" customWidth="1"/>
    <col min="1816" max="1816" width="9.25" style="3" customWidth="1"/>
    <col min="1817" max="2048" width="9" style="3"/>
    <col min="2049" max="2049" width="6.25" style="3" customWidth="1"/>
    <col min="2050" max="2050" width="10.125" style="3" customWidth="1"/>
    <col min="2051" max="2051" width="29.375" style="3" customWidth="1"/>
    <col min="2052" max="2060" width="0" style="3" hidden="1" customWidth="1"/>
    <col min="2061" max="2061" width="14.75" style="3" customWidth="1"/>
    <col min="2062" max="2062" width="11" style="3" customWidth="1"/>
    <col min="2063" max="2063" width="11.125" style="3" customWidth="1"/>
    <col min="2064" max="2064" width="9.75" style="3" customWidth="1"/>
    <col min="2065" max="2065" width="10.375" style="3" customWidth="1"/>
    <col min="2066" max="2067" width="9.625" style="3" customWidth="1"/>
    <col min="2068" max="2068" width="10.875" style="3" customWidth="1"/>
    <col min="2069" max="2069" width="9.375" style="3" customWidth="1"/>
    <col min="2070" max="2070" width="10.25" style="3" customWidth="1"/>
    <col min="2071" max="2071" width="9.75" style="3" customWidth="1"/>
    <col min="2072" max="2072" width="9.25" style="3" customWidth="1"/>
    <col min="2073" max="2304" width="9" style="3"/>
    <col min="2305" max="2305" width="6.25" style="3" customWidth="1"/>
    <col min="2306" max="2306" width="10.125" style="3" customWidth="1"/>
    <col min="2307" max="2307" width="29.375" style="3" customWidth="1"/>
    <col min="2308" max="2316" width="0" style="3" hidden="1" customWidth="1"/>
    <col min="2317" max="2317" width="14.75" style="3" customWidth="1"/>
    <col min="2318" max="2318" width="11" style="3" customWidth="1"/>
    <col min="2319" max="2319" width="11.125" style="3" customWidth="1"/>
    <col min="2320" max="2320" width="9.75" style="3" customWidth="1"/>
    <col min="2321" max="2321" width="10.375" style="3" customWidth="1"/>
    <col min="2322" max="2323" width="9.625" style="3" customWidth="1"/>
    <col min="2324" max="2324" width="10.875" style="3" customWidth="1"/>
    <col min="2325" max="2325" width="9.375" style="3" customWidth="1"/>
    <col min="2326" max="2326" width="10.25" style="3" customWidth="1"/>
    <col min="2327" max="2327" width="9.75" style="3" customWidth="1"/>
    <col min="2328" max="2328" width="9.25" style="3" customWidth="1"/>
    <col min="2329" max="2560" width="9" style="3"/>
    <col min="2561" max="2561" width="6.25" style="3" customWidth="1"/>
    <col min="2562" max="2562" width="10.125" style="3" customWidth="1"/>
    <col min="2563" max="2563" width="29.375" style="3" customWidth="1"/>
    <col min="2564" max="2572" width="0" style="3" hidden="1" customWidth="1"/>
    <col min="2573" max="2573" width="14.75" style="3" customWidth="1"/>
    <col min="2574" max="2574" width="11" style="3" customWidth="1"/>
    <col min="2575" max="2575" width="11.125" style="3" customWidth="1"/>
    <col min="2576" max="2576" width="9.75" style="3" customWidth="1"/>
    <col min="2577" max="2577" width="10.375" style="3" customWidth="1"/>
    <col min="2578" max="2579" width="9.625" style="3" customWidth="1"/>
    <col min="2580" max="2580" width="10.875" style="3" customWidth="1"/>
    <col min="2581" max="2581" width="9.375" style="3" customWidth="1"/>
    <col min="2582" max="2582" width="10.25" style="3" customWidth="1"/>
    <col min="2583" max="2583" width="9.75" style="3" customWidth="1"/>
    <col min="2584" max="2584" width="9.25" style="3" customWidth="1"/>
    <col min="2585" max="2816" width="9" style="3"/>
    <col min="2817" max="2817" width="6.25" style="3" customWidth="1"/>
    <col min="2818" max="2818" width="10.125" style="3" customWidth="1"/>
    <col min="2819" max="2819" width="29.375" style="3" customWidth="1"/>
    <col min="2820" max="2828" width="0" style="3" hidden="1" customWidth="1"/>
    <col min="2829" max="2829" width="14.75" style="3" customWidth="1"/>
    <col min="2830" max="2830" width="11" style="3" customWidth="1"/>
    <col min="2831" max="2831" width="11.125" style="3" customWidth="1"/>
    <col min="2832" max="2832" width="9.75" style="3" customWidth="1"/>
    <col min="2833" max="2833" width="10.375" style="3" customWidth="1"/>
    <col min="2834" max="2835" width="9.625" style="3" customWidth="1"/>
    <col min="2836" max="2836" width="10.875" style="3" customWidth="1"/>
    <col min="2837" max="2837" width="9.375" style="3" customWidth="1"/>
    <col min="2838" max="2838" width="10.25" style="3" customWidth="1"/>
    <col min="2839" max="2839" width="9.75" style="3" customWidth="1"/>
    <col min="2840" max="2840" width="9.25" style="3" customWidth="1"/>
    <col min="2841" max="3072" width="9" style="3"/>
    <col min="3073" max="3073" width="6.25" style="3" customWidth="1"/>
    <col min="3074" max="3074" width="10.125" style="3" customWidth="1"/>
    <col min="3075" max="3075" width="29.375" style="3" customWidth="1"/>
    <col min="3076" max="3084" width="0" style="3" hidden="1" customWidth="1"/>
    <col min="3085" max="3085" width="14.75" style="3" customWidth="1"/>
    <col min="3086" max="3086" width="11" style="3" customWidth="1"/>
    <col min="3087" max="3087" width="11.125" style="3" customWidth="1"/>
    <col min="3088" max="3088" width="9.75" style="3" customWidth="1"/>
    <col min="3089" max="3089" width="10.375" style="3" customWidth="1"/>
    <col min="3090" max="3091" width="9.625" style="3" customWidth="1"/>
    <col min="3092" max="3092" width="10.875" style="3" customWidth="1"/>
    <col min="3093" max="3093" width="9.375" style="3" customWidth="1"/>
    <col min="3094" max="3094" width="10.25" style="3" customWidth="1"/>
    <col min="3095" max="3095" width="9.75" style="3" customWidth="1"/>
    <col min="3096" max="3096" width="9.25" style="3" customWidth="1"/>
    <col min="3097" max="3328" width="9" style="3"/>
    <col min="3329" max="3329" width="6.25" style="3" customWidth="1"/>
    <col min="3330" max="3330" width="10.125" style="3" customWidth="1"/>
    <col min="3331" max="3331" width="29.375" style="3" customWidth="1"/>
    <col min="3332" max="3340" width="0" style="3" hidden="1" customWidth="1"/>
    <col min="3341" max="3341" width="14.75" style="3" customWidth="1"/>
    <col min="3342" max="3342" width="11" style="3" customWidth="1"/>
    <col min="3343" max="3343" width="11.125" style="3" customWidth="1"/>
    <col min="3344" max="3344" width="9.75" style="3" customWidth="1"/>
    <col min="3345" max="3345" width="10.375" style="3" customWidth="1"/>
    <col min="3346" max="3347" width="9.625" style="3" customWidth="1"/>
    <col min="3348" max="3348" width="10.875" style="3" customWidth="1"/>
    <col min="3349" max="3349" width="9.375" style="3" customWidth="1"/>
    <col min="3350" max="3350" width="10.25" style="3" customWidth="1"/>
    <col min="3351" max="3351" width="9.75" style="3" customWidth="1"/>
    <col min="3352" max="3352" width="9.25" style="3" customWidth="1"/>
    <col min="3353" max="3584" width="9" style="3"/>
    <col min="3585" max="3585" width="6.25" style="3" customWidth="1"/>
    <col min="3586" max="3586" width="10.125" style="3" customWidth="1"/>
    <col min="3587" max="3587" width="29.375" style="3" customWidth="1"/>
    <col min="3588" max="3596" width="0" style="3" hidden="1" customWidth="1"/>
    <col min="3597" max="3597" width="14.75" style="3" customWidth="1"/>
    <col min="3598" max="3598" width="11" style="3" customWidth="1"/>
    <col min="3599" max="3599" width="11.125" style="3" customWidth="1"/>
    <col min="3600" max="3600" width="9.75" style="3" customWidth="1"/>
    <col min="3601" max="3601" width="10.375" style="3" customWidth="1"/>
    <col min="3602" max="3603" width="9.625" style="3" customWidth="1"/>
    <col min="3604" max="3604" width="10.875" style="3" customWidth="1"/>
    <col min="3605" max="3605" width="9.375" style="3" customWidth="1"/>
    <col min="3606" max="3606" width="10.25" style="3" customWidth="1"/>
    <col min="3607" max="3607" width="9.75" style="3" customWidth="1"/>
    <col min="3608" max="3608" width="9.25" style="3" customWidth="1"/>
    <col min="3609" max="3840" width="9" style="3"/>
    <col min="3841" max="3841" width="6.25" style="3" customWidth="1"/>
    <col min="3842" max="3842" width="10.125" style="3" customWidth="1"/>
    <col min="3843" max="3843" width="29.375" style="3" customWidth="1"/>
    <col min="3844" max="3852" width="0" style="3" hidden="1" customWidth="1"/>
    <col min="3853" max="3853" width="14.75" style="3" customWidth="1"/>
    <col min="3854" max="3854" width="11" style="3" customWidth="1"/>
    <col min="3855" max="3855" width="11.125" style="3" customWidth="1"/>
    <col min="3856" max="3856" width="9.75" style="3" customWidth="1"/>
    <col min="3857" max="3857" width="10.375" style="3" customWidth="1"/>
    <col min="3858" max="3859" width="9.625" style="3" customWidth="1"/>
    <col min="3860" max="3860" width="10.875" style="3" customWidth="1"/>
    <col min="3861" max="3861" width="9.375" style="3" customWidth="1"/>
    <col min="3862" max="3862" width="10.25" style="3" customWidth="1"/>
    <col min="3863" max="3863" width="9.75" style="3" customWidth="1"/>
    <col min="3864" max="3864" width="9.25" style="3" customWidth="1"/>
    <col min="3865" max="4096" width="9" style="3"/>
    <col min="4097" max="4097" width="6.25" style="3" customWidth="1"/>
    <col min="4098" max="4098" width="10.125" style="3" customWidth="1"/>
    <col min="4099" max="4099" width="29.375" style="3" customWidth="1"/>
    <col min="4100" max="4108" width="0" style="3" hidden="1" customWidth="1"/>
    <col min="4109" max="4109" width="14.75" style="3" customWidth="1"/>
    <col min="4110" max="4110" width="11" style="3" customWidth="1"/>
    <col min="4111" max="4111" width="11.125" style="3" customWidth="1"/>
    <col min="4112" max="4112" width="9.75" style="3" customWidth="1"/>
    <col min="4113" max="4113" width="10.375" style="3" customWidth="1"/>
    <col min="4114" max="4115" width="9.625" style="3" customWidth="1"/>
    <col min="4116" max="4116" width="10.875" style="3" customWidth="1"/>
    <col min="4117" max="4117" width="9.375" style="3" customWidth="1"/>
    <col min="4118" max="4118" width="10.25" style="3" customWidth="1"/>
    <col min="4119" max="4119" width="9.75" style="3" customWidth="1"/>
    <col min="4120" max="4120" width="9.25" style="3" customWidth="1"/>
    <col min="4121" max="4352" width="9" style="3"/>
    <col min="4353" max="4353" width="6.25" style="3" customWidth="1"/>
    <col min="4354" max="4354" width="10.125" style="3" customWidth="1"/>
    <col min="4355" max="4355" width="29.375" style="3" customWidth="1"/>
    <col min="4356" max="4364" width="0" style="3" hidden="1" customWidth="1"/>
    <col min="4365" max="4365" width="14.75" style="3" customWidth="1"/>
    <col min="4366" max="4366" width="11" style="3" customWidth="1"/>
    <col min="4367" max="4367" width="11.125" style="3" customWidth="1"/>
    <col min="4368" max="4368" width="9.75" style="3" customWidth="1"/>
    <col min="4369" max="4369" width="10.375" style="3" customWidth="1"/>
    <col min="4370" max="4371" width="9.625" style="3" customWidth="1"/>
    <col min="4372" max="4372" width="10.875" style="3" customWidth="1"/>
    <col min="4373" max="4373" width="9.375" style="3" customWidth="1"/>
    <col min="4374" max="4374" width="10.25" style="3" customWidth="1"/>
    <col min="4375" max="4375" width="9.75" style="3" customWidth="1"/>
    <col min="4376" max="4376" width="9.25" style="3" customWidth="1"/>
    <col min="4377" max="4608" width="9" style="3"/>
    <col min="4609" max="4609" width="6.25" style="3" customWidth="1"/>
    <col min="4610" max="4610" width="10.125" style="3" customWidth="1"/>
    <col min="4611" max="4611" width="29.375" style="3" customWidth="1"/>
    <col min="4612" max="4620" width="0" style="3" hidden="1" customWidth="1"/>
    <col min="4621" max="4621" width="14.75" style="3" customWidth="1"/>
    <col min="4622" max="4622" width="11" style="3" customWidth="1"/>
    <col min="4623" max="4623" width="11.125" style="3" customWidth="1"/>
    <col min="4624" max="4624" width="9.75" style="3" customWidth="1"/>
    <col min="4625" max="4625" width="10.375" style="3" customWidth="1"/>
    <col min="4626" max="4627" width="9.625" style="3" customWidth="1"/>
    <col min="4628" max="4628" width="10.875" style="3" customWidth="1"/>
    <col min="4629" max="4629" width="9.375" style="3" customWidth="1"/>
    <col min="4630" max="4630" width="10.25" style="3" customWidth="1"/>
    <col min="4631" max="4631" width="9.75" style="3" customWidth="1"/>
    <col min="4632" max="4632" width="9.25" style="3" customWidth="1"/>
    <col min="4633" max="4864" width="9" style="3"/>
    <col min="4865" max="4865" width="6.25" style="3" customWidth="1"/>
    <col min="4866" max="4866" width="10.125" style="3" customWidth="1"/>
    <col min="4867" max="4867" width="29.375" style="3" customWidth="1"/>
    <col min="4868" max="4876" width="0" style="3" hidden="1" customWidth="1"/>
    <col min="4877" max="4877" width="14.75" style="3" customWidth="1"/>
    <col min="4878" max="4878" width="11" style="3" customWidth="1"/>
    <col min="4879" max="4879" width="11.125" style="3" customWidth="1"/>
    <col min="4880" max="4880" width="9.75" style="3" customWidth="1"/>
    <col min="4881" max="4881" width="10.375" style="3" customWidth="1"/>
    <col min="4882" max="4883" width="9.625" style="3" customWidth="1"/>
    <col min="4884" max="4884" width="10.875" style="3" customWidth="1"/>
    <col min="4885" max="4885" width="9.375" style="3" customWidth="1"/>
    <col min="4886" max="4886" width="10.25" style="3" customWidth="1"/>
    <col min="4887" max="4887" width="9.75" style="3" customWidth="1"/>
    <col min="4888" max="4888" width="9.25" style="3" customWidth="1"/>
    <col min="4889" max="5120" width="9" style="3"/>
    <col min="5121" max="5121" width="6.25" style="3" customWidth="1"/>
    <col min="5122" max="5122" width="10.125" style="3" customWidth="1"/>
    <col min="5123" max="5123" width="29.375" style="3" customWidth="1"/>
    <col min="5124" max="5132" width="0" style="3" hidden="1" customWidth="1"/>
    <col min="5133" max="5133" width="14.75" style="3" customWidth="1"/>
    <col min="5134" max="5134" width="11" style="3" customWidth="1"/>
    <col min="5135" max="5135" width="11.125" style="3" customWidth="1"/>
    <col min="5136" max="5136" width="9.75" style="3" customWidth="1"/>
    <col min="5137" max="5137" width="10.375" style="3" customWidth="1"/>
    <col min="5138" max="5139" width="9.625" style="3" customWidth="1"/>
    <col min="5140" max="5140" width="10.875" style="3" customWidth="1"/>
    <col min="5141" max="5141" width="9.375" style="3" customWidth="1"/>
    <col min="5142" max="5142" width="10.25" style="3" customWidth="1"/>
    <col min="5143" max="5143" width="9.75" style="3" customWidth="1"/>
    <col min="5144" max="5144" width="9.25" style="3" customWidth="1"/>
    <col min="5145" max="5376" width="9" style="3"/>
    <col min="5377" max="5377" width="6.25" style="3" customWidth="1"/>
    <col min="5378" max="5378" width="10.125" style="3" customWidth="1"/>
    <col min="5379" max="5379" width="29.375" style="3" customWidth="1"/>
    <col min="5380" max="5388" width="0" style="3" hidden="1" customWidth="1"/>
    <col min="5389" max="5389" width="14.75" style="3" customWidth="1"/>
    <col min="5390" max="5390" width="11" style="3" customWidth="1"/>
    <col min="5391" max="5391" width="11.125" style="3" customWidth="1"/>
    <col min="5392" max="5392" width="9.75" style="3" customWidth="1"/>
    <col min="5393" max="5393" width="10.375" style="3" customWidth="1"/>
    <col min="5394" max="5395" width="9.625" style="3" customWidth="1"/>
    <col min="5396" max="5396" width="10.875" style="3" customWidth="1"/>
    <col min="5397" max="5397" width="9.375" style="3" customWidth="1"/>
    <col min="5398" max="5398" width="10.25" style="3" customWidth="1"/>
    <col min="5399" max="5399" width="9.75" style="3" customWidth="1"/>
    <col min="5400" max="5400" width="9.25" style="3" customWidth="1"/>
    <col min="5401" max="5632" width="9" style="3"/>
    <col min="5633" max="5633" width="6.25" style="3" customWidth="1"/>
    <col min="5634" max="5634" width="10.125" style="3" customWidth="1"/>
    <col min="5635" max="5635" width="29.375" style="3" customWidth="1"/>
    <col min="5636" max="5644" width="0" style="3" hidden="1" customWidth="1"/>
    <col min="5645" max="5645" width="14.75" style="3" customWidth="1"/>
    <col min="5646" max="5646" width="11" style="3" customWidth="1"/>
    <col min="5647" max="5647" width="11.125" style="3" customWidth="1"/>
    <col min="5648" max="5648" width="9.75" style="3" customWidth="1"/>
    <col min="5649" max="5649" width="10.375" style="3" customWidth="1"/>
    <col min="5650" max="5651" width="9.625" style="3" customWidth="1"/>
    <col min="5652" max="5652" width="10.875" style="3" customWidth="1"/>
    <col min="5653" max="5653" width="9.375" style="3" customWidth="1"/>
    <col min="5654" max="5654" width="10.25" style="3" customWidth="1"/>
    <col min="5655" max="5655" width="9.75" style="3" customWidth="1"/>
    <col min="5656" max="5656" width="9.25" style="3" customWidth="1"/>
    <col min="5657" max="5888" width="9" style="3"/>
    <col min="5889" max="5889" width="6.25" style="3" customWidth="1"/>
    <col min="5890" max="5890" width="10.125" style="3" customWidth="1"/>
    <col min="5891" max="5891" width="29.375" style="3" customWidth="1"/>
    <col min="5892" max="5900" width="0" style="3" hidden="1" customWidth="1"/>
    <col min="5901" max="5901" width="14.75" style="3" customWidth="1"/>
    <col min="5902" max="5902" width="11" style="3" customWidth="1"/>
    <col min="5903" max="5903" width="11.125" style="3" customWidth="1"/>
    <col min="5904" max="5904" width="9.75" style="3" customWidth="1"/>
    <col min="5905" max="5905" width="10.375" style="3" customWidth="1"/>
    <col min="5906" max="5907" width="9.625" style="3" customWidth="1"/>
    <col min="5908" max="5908" width="10.875" style="3" customWidth="1"/>
    <col min="5909" max="5909" width="9.375" style="3" customWidth="1"/>
    <col min="5910" max="5910" width="10.25" style="3" customWidth="1"/>
    <col min="5911" max="5911" width="9.75" style="3" customWidth="1"/>
    <col min="5912" max="5912" width="9.25" style="3" customWidth="1"/>
    <col min="5913" max="6144" width="9" style="3"/>
    <col min="6145" max="6145" width="6.25" style="3" customWidth="1"/>
    <col min="6146" max="6146" width="10.125" style="3" customWidth="1"/>
    <col min="6147" max="6147" width="29.375" style="3" customWidth="1"/>
    <col min="6148" max="6156" width="0" style="3" hidden="1" customWidth="1"/>
    <col min="6157" max="6157" width="14.75" style="3" customWidth="1"/>
    <col min="6158" max="6158" width="11" style="3" customWidth="1"/>
    <col min="6159" max="6159" width="11.125" style="3" customWidth="1"/>
    <col min="6160" max="6160" width="9.75" style="3" customWidth="1"/>
    <col min="6161" max="6161" width="10.375" style="3" customWidth="1"/>
    <col min="6162" max="6163" width="9.625" style="3" customWidth="1"/>
    <col min="6164" max="6164" width="10.875" style="3" customWidth="1"/>
    <col min="6165" max="6165" width="9.375" style="3" customWidth="1"/>
    <col min="6166" max="6166" width="10.25" style="3" customWidth="1"/>
    <col min="6167" max="6167" width="9.75" style="3" customWidth="1"/>
    <col min="6168" max="6168" width="9.25" style="3" customWidth="1"/>
    <col min="6169" max="6400" width="9" style="3"/>
    <col min="6401" max="6401" width="6.25" style="3" customWidth="1"/>
    <col min="6402" max="6402" width="10.125" style="3" customWidth="1"/>
    <col min="6403" max="6403" width="29.375" style="3" customWidth="1"/>
    <col min="6404" max="6412" width="0" style="3" hidden="1" customWidth="1"/>
    <col min="6413" max="6413" width="14.75" style="3" customWidth="1"/>
    <col min="6414" max="6414" width="11" style="3" customWidth="1"/>
    <col min="6415" max="6415" width="11.125" style="3" customWidth="1"/>
    <col min="6416" max="6416" width="9.75" style="3" customWidth="1"/>
    <col min="6417" max="6417" width="10.375" style="3" customWidth="1"/>
    <col min="6418" max="6419" width="9.625" style="3" customWidth="1"/>
    <col min="6420" max="6420" width="10.875" style="3" customWidth="1"/>
    <col min="6421" max="6421" width="9.375" style="3" customWidth="1"/>
    <col min="6422" max="6422" width="10.25" style="3" customWidth="1"/>
    <col min="6423" max="6423" width="9.75" style="3" customWidth="1"/>
    <col min="6424" max="6424" width="9.25" style="3" customWidth="1"/>
    <col min="6425" max="6656" width="9" style="3"/>
    <col min="6657" max="6657" width="6.25" style="3" customWidth="1"/>
    <col min="6658" max="6658" width="10.125" style="3" customWidth="1"/>
    <col min="6659" max="6659" width="29.375" style="3" customWidth="1"/>
    <col min="6660" max="6668" width="0" style="3" hidden="1" customWidth="1"/>
    <col min="6669" max="6669" width="14.75" style="3" customWidth="1"/>
    <col min="6670" max="6670" width="11" style="3" customWidth="1"/>
    <col min="6671" max="6671" width="11.125" style="3" customWidth="1"/>
    <col min="6672" max="6672" width="9.75" style="3" customWidth="1"/>
    <col min="6673" max="6673" width="10.375" style="3" customWidth="1"/>
    <col min="6674" max="6675" width="9.625" style="3" customWidth="1"/>
    <col min="6676" max="6676" width="10.875" style="3" customWidth="1"/>
    <col min="6677" max="6677" width="9.375" style="3" customWidth="1"/>
    <col min="6678" max="6678" width="10.25" style="3" customWidth="1"/>
    <col min="6679" max="6679" width="9.75" style="3" customWidth="1"/>
    <col min="6680" max="6680" width="9.25" style="3" customWidth="1"/>
    <col min="6681" max="6912" width="9" style="3"/>
    <col min="6913" max="6913" width="6.25" style="3" customWidth="1"/>
    <col min="6914" max="6914" width="10.125" style="3" customWidth="1"/>
    <col min="6915" max="6915" width="29.375" style="3" customWidth="1"/>
    <col min="6916" max="6924" width="0" style="3" hidden="1" customWidth="1"/>
    <col min="6925" max="6925" width="14.75" style="3" customWidth="1"/>
    <col min="6926" max="6926" width="11" style="3" customWidth="1"/>
    <col min="6927" max="6927" width="11.125" style="3" customWidth="1"/>
    <col min="6928" max="6928" width="9.75" style="3" customWidth="1"/>
    <col min="6929" max="6929" width="10.375" style="3" customWidth="1"/>
    <col min="6930" max="6931" width="9.625" style="3" customWidth="1"/>
    <col min="6932" max="6932" width="10.875" style="3" customWidth="1"/>
    <col min="6933" max="6933" width="9.375" style="3" customWidth="1"/>
    <col min="6934" max="6934" width="10.25" style="3" customWidth="1"/>
    <col min="6935" max="6935" width="9.75" style="3" customWidth="1"/>
    <col min="6936" max="6936" width="9.25" style="3" customWidth="1"/>
    <col min="6937" max="7168" width="9" style="3"/>
    <col min="7169" max="7169" width="6.25" style="3" customWidth="1"/>
    <col min="7170" max="7170" width="10.125" style="3" customWidth="1"/>
    <col min="7171" max="7171" width="29.375" style="3" customWidth="1"/>
    <col min="7172" max="7180" width="0" style="3" hidden="1" customWidth="1"/>
    <col min="7181" max="7181" width="14.75" style="3" customWidth="1"/>
    <col min="7182" max="7182" width="11" style="3" customWidth="1"/>
    <col min="7183" max="7183" width="11.125" style="3" customWidth="1"/>
    <col min="7184" max="7184" width="9.75" style="3" customWidth="1"/>
    <col min="7185" max="7185" width="10.375" style="3" customWidth="1"/>
    <col min="7186" max="7187" width="9.625" style="3" customWidth="1"/>
    <col min="7188" max="7188" width="10.875" style="3" customWidth="1"/>
    <col min="7189" max="7189" width="9.375" style="3" customWidth="1"/>
    <col min="7190" max="7190" width="10.25" style="3" customWidth="1"/>
    <col min="7191" max="7191" width="9.75" style="3" customWidth="1"/>
    <col min="7192" max="7192" width="9.25" style="3" customWidth="1"/>
    <col min="7193" max="7424" width="9" style="3"/>
    <col min="7425" max="7425" width="6.25" style="3" customWidth="1"/>
    <col min="7426" max="7426" width="10.125" style="3" customWidth="1"/>
    <col min="7427" max="7427" width="29.375" style="3" customWidth="1"/>
    <col min="7428" max="7436" width="0" style="3" hidden="1" customWidth="1"/>
    <col min="7437" max="7437" width="14.75" style="3" customWidth="1"/>
    <col min="7438" max="7438" width="11" style="3" customWidth="1"/>
    <col min="7439" max="7439" width="11.125" style="3" customWidth="1"/>
    <col min="7440" max="7440" width="9.75" style="3" customWidth="1"/>
    <col min="7441" max="7441" width="10.375" style="3" customWidth="1"/>
    <col min="7442" max="7443" width="9.625" style="3" customWidth="1"/>
    <col min="7444" max="7444" width="10.875" style="3" customWidth="1"/>
    <col min="7445" max="7445" width="9.375" style="3" customWidth="1"/>
    <col min="7446" max="7446" width="10.25" style="3" customWidth="1"/>
    <col min="7447" max="7447" width="9.75" style="3" customWidth="1"/>
    <col min="7448" max="7448" width="9.25" style="3" customWidth="1"/>
    <col min="7449" max="7680" width="9" style="3"/>
    <col min="7681" max="7681" width="6.25" style="3" customWidth="1"/>
    <col min="7682" max="7682" width="10.125" style="3" customWidth="1"/>
    <col min="7683" max="7683" width="29.375" style="3" customWidth="1"/>
    <col min="7684" max="7692" width="0" style="3" hidden="1" customWidth="1"/>
    <col min="7693" max="7693" width="14.75" style="3" customWidth="1"/>
    <col min="7694" max="7694" width="11" style="3" customWidth="1"/>
    <col min="7695" max="7695" width="11.125" style="3" customWidth="1"/>
    <col min="7696" max="7696" width="9.75" style="3" customWidth="1"/>
    <col min="7697" max="7697" width="10.375" style="3" customWidth="1"/>
    <col min="7698" max="7699" width="9.625" style="3" customWidth="1"/>
    <col min="7700" max="7700" width="10.875" style="3" customWidth="1"/>
    <col min="7701" max="7701" width="9.375" style="3" customWidth="1"/>
    <col min="7702" max="7702" width="10.25" style="3" customWidth="1"/>
    <col min="7703" max="7703" width="9.75" style="3" customWidth="1"/>
    <col min="7704" max="7704" width="9.25" style="3" customWidth="1"/>
    <col min="7705" max="7936" width="9" style="3"/>
    <col min="7937" max="7937" width="6.25" style="3" customWidth="1"/>
    <col min="7938" max="7938" width="10.125" style="3" customWidth="1"/>
    <col min="7939" max="7939" width="29.375" style="3" customWidth="1"/>
    <col min="7940" max="7948" width="0" style="3" hidden="1" customWidth="1"/>
    <col min="7949" max="7949" width="14.75" style="3" customWidth="1"/>
    <col min="7950" max="7950" width="11" style="3" customWidth="1"/>
    <col min="7951" max="7951" width="11.125" style="3" customWidth="1"/>
    <col min="7952" max="7952" width="9.75" style="3" customWidth="1"/>
    <col min="7953" max="7953" width="10.375" style="3" customWidth="1"/>
    <col min="7954" max="7955" width="9.625" style="3" customWidth="1"/>
    <col min="7956" max="7956" width="10.875" style="3" customWidth="1"/>
    <col min="7957" max="7957" width="9.375" style="3" customWidth="1"/>
    <col min="7958" max="7958" width="10.25" style="3" customWidth="1"/>
    <col min="7959" max="7959" width="9.75" style="3" customWidth="1"/>
    <col min="7960" max="7960" width="9.25" style="3" customWidth="1"/>
    <col min="7961" max="8192" width="9" style="3"/>
    <col min="8193" max="8193" width="6.25" style="3" customWidth="1"/>
    <col min="8194" max="8194" width="10.125" style="3" customWidth="1"/>
    <col min="8195" max="8195" width="29.375" style="3" customWidth="1"/>
    <col min="8196" max="8204" width="0" style="3" hidden="1" customWidth="1"/>
    <col min="8205" max="8205" width="14.75" style="3" customWidth="1"/>
    <col min="8206" max="8206" width="11" style="3" customWidth="1"/>
    <col min="8207" max="8207" width="11.125" style="3" customWidth="1"/>
    <col min="8208" max="8208" width="9.75" style="3" customWidth="1"/>
    <col min="8209" max="8209" width="10.375" style="3" customWidth="1"/>
    <col min="8210" max="8211" width="9.625" style="3" customWidth="1"/>
    <col min="8212" max="8212" width="10.875" style="3" customWidth="1"/>
    <col min="8213" max="8213" width="9.375" style="3" customWidth="1"/>
    <col min="8214" max="8214" width="10.25" style="3" customWidth="1"/>
    <col min="8215" max="8215" width="9.75" style="3" customWidth="1"/>
    <col min="8216" max="8216" width="9.25" style="3" customWidth="1"/>
    <col min="8217" max="8448" width="9" style="3"/>
    <col min="8449" max="8449" width="6.25" style="3" customWidth="1"/>
    <col min="8450" max="8450" width="10.125" style="3" customWidth="1"/>
    <col min="8451" max="8451" width="29.375" style="3" customWidth="1"/>
    <col min="8452" max="8460" width="0" style="3" hidden="1" customWidth="1"/>
    <col min="8461" max="8461" width="14.75" style="3" customWidth="1"/>
    <col min="8462" max="8462" width="11" style="3" customWidth="1"/>
    <col min="8463" max="8463" width="11.125" style="3" customWidth="1"/>
    <col min="8464" max="8464" width="9.75" style="3" customWidth="1"/>
    <col min="8465" max="8465" width="10.375" style="3" customWidth="1"/>
    <col min="8466" max="8467" width="9.625" style="3" customWidth="1"/>
    <col min="8468" max="8468" width="10.875" style="3" customWidth="1"/>
    <col min="8469" max="8469" width="9.375" style="3" customWidth="1"/>
    <col min="8470" max="8470" width="10.25" style="3" customWidth="1"/>
    <col min="8471" max="8471" width="9.75" style="3" customWidth="1"/>
    <col min="8472" max="8472" width="9.25" style="3" customWidth="1"/>
    <col min="8473" max="8704" width="9" style="3"/>
    <col min="8705" max="8705" width="6.25" style="3" customWidth="1"/>
    <col min="8706" max="8706" width="10.125" style="3" customWidth="1"/>
    <col min="8707" max="8707" width="29.375" style="3" customWidth="1"/>
    <col min="8708" max="8716" width="0" style="3" hidden="1" customWidth="1"/>
    <col min="8717" max="8717" width="14.75" style="3" customWidth="1"/>
    <col min="8718" max="8718" width="11" style="3" customWidth="1"/>
    <col min="8719" max="8719" width="11.125" style="3" customWidth="1"/>
    <col min="8720" max="8720" width="9.75" style="3" customWidth="1"/>
    <col min="8721" max="8721" width="10.375" style="3" customWidth="1"/>
    <col min="8722" max="8723" width="9.625" style="3" customWidth="1"/>
    <col min="8724" max="8724" width="10.875" style="3" customWidth="1"/>
    <col min="8725" max="8725" width="9.375" style="3" customWidth="1"/>
    <col min="8726" max="8726" width="10.25" style="3" customWidth="1"/>
    <col min="8727" max="8727" width="9.75" style="3" customWidth="1"/>
    <col min="8728" max="8728" width="9.25" style="3" customWidth="1"/>
    <col min="8729" max="8960" width="9" style="3"/>
    <col min="8961" max="8961" width="6.25" style="3" customWidth="1"/>
    <col min="8962" max="8962" width="10.125" style="3" customWidth="1"/>
    <col min="8963" max="8963" width="29.375" style="3" customWidth="1"/>
    <col min="8964" max="8972" width="0" style="3" hidden="1" customWidth="1"/>
    <col min="8973" max="8973" width="14.75" style="3" customWidth="1"/>
    <col min="8974" max="8974" width="11" style="3" customWidth="1"/>
    <col min="8975" max="8975" width="11.125" style="3" customWidth="1"/>
    <col min="8976" max="8976" width="9.75" style="3" customWidth="1"/>
    <col min="8977" max="8977" width="10.375" style="3" customWidth="1"/>
    <col min="8978" max="8979" width="9.625" style="3" customWidth="1"/>
    <col min="8980" max="8980" width="10.875" style="3" customWidth="1"/>
    <col min="8981" max="8981" width="9.375" style="3" customWidth="1"/>
    <col min="8982" max="8982" width="10.25" style="3" customWidth="1"/>
    <col min="8983" max="8983" width="9.75" style="3" customWidth="1"/>
    <col min="8984" max="8984" width="9.25" style="3" customWidth="1"/>
    <col min="8985" max="9216" width="9" style="3"/>
    <col min="9217" max="9217" width="6.25" style="3" customWidth="1"/>
    <col min="9218" max="9218" width="10.125" style="3" customWidth="1"/>
    <col min="9219" max="9219" width="29.375" style="3" customWidth="1"/>
    <col min="9220" max="9228" width="0" style="3" hidden="1" customWidth="1"/>
    <col min="9229" max="9229" width="14.75" style="3" customWidth="1"/>
    <col min="9230" max="9230" width="11" style="3" customWidth="1"/>
    <col min="9231" max="9231" width="11.125" style="3" customWidth="1"/>
    <col min="9232" max="9232" width="9.75" style="3" customWidth="1"/>
    <col min="9233" max="9233" width="10.375" style="3" customWidth="1"/>
    <col min="9234" max="9235" width="9.625" style="3" customWidth="1"/>
    <col min="9236" max="9236" width="10.875" style="3" customWidth="1"/>
    <col min="9237" max="9237" width="9.375" style="3" customWidth="1"/>
    <col min="9238" max="9238" width="10.25" style="3" customWidth="1"/>
    <col min="9239" max="9239" width="9.75" style="3" customWidth="1"/>
    <col min="9240" max="9240" width="9.25" style="3" customWidth="1"/>
    <col min="9241" max="9472" width="9" style="3"/>
    <col min="9473" max="9473" width="6.25" style="3" customWidth="1"/>
    <col min="9474" max="9474" width="10.125" style="3" customWidth="1"/>
    <col min="9475" max="9475" width="29.375" style="3" customWidth="1"/>
    <col min="9476" max="9484" width="0" style="3" hidden="1" customWidth="1"/>
    <col min="9485" max="9485" width="14.75" style="3" customWidth="1"/>
    <col min="9486" max="9486" width="11" style="3" customWidth="1"/>
    <col min="9487" max="9487" width="11.125" style="3" customWidth="1"/>
    <col min="9488" max="9488" width="9.75" style="3" customWidth="1"/>
    <col min="9489" max="9489" width="10.375" style="3" customWidth="1"/>
    <col min="9490" max="9491" width="9.625" style="3" customWidth="1"/>
    <col min="9492" max="9492" width="10.875" style="3" customWidth="1"/>
    <col min="9493" max="9493" width="9.375" style="3" customWidth="1"/>
    <col min="9494" max="9494" width="10.25" style="3" customWidth="1"/>
    <col min="9495" max="9495" width="9.75" style="3" customWidth="1"/>
    <col min="9496" max="9496" width="9.25" style="3" customWidth="1"/>
    <col min="9497" max="9728" width="9" style="3"/>
    <col min="9729" max="9729" width="6.25" style="3" customWidth="1"/>
    <col min="9730" max="9730" width="10.125" style="3" customWidth="1"/>
    <col min="9731" max="9731" width="29.375" style="3" customWidth="1"/>
    <col min="9732" max="9740" width="0" style="3" hidden="1" customWidth="1"/>
    <col min="9741" max="9741" width="14.75" style="3" customWidth="1"/>
    <col min="9742" max="9742" width="11" style="3" customWidth="1"/>
    <col min="9743" max="9743" width="11.125" style="3" customWidth="1"/>
    <col min="9744" max="9744" width="9.75" style="3" customWidth="1"/>
    <col min="9745" max="9745" width="10.375" style="3" customWidth="1"/>
    <col min="9746" max="9747" width="9.625" style="3" customWidth="1"/>
    <col min="9748" max="9748" width="10.875" style="3" customWidth="1"/>
    <col min="9749" max="9749" width="9.375" style="3" customWidth="1"/>
    <col min="9750" max="9750" width="10.25" style="3" customWidth="1"/>
    <col min="9751" max="9751" width="9.75" style="3" customWidth="1"/>
    <col min="9752" max="9752" width="9.25" style="3" customWidth="1"/>
    <col min="9753" max="9984" width="9" style="3"/>
    <col min="9985" max="9985" width="6.25" style="3" customWidth="1"/>
    <col min="9986" max="9986" width="10.125" style="3" customWidth="1"/>
    <col min="9987" max="9987" width="29.375" style="3" customWidth="1"/>
    <col min="9988" max="9996" width="0" style="3" hidden="1" customWidth="1"/>
    <col min="9997" max="9997" width="14.75" style="3" customWidth="1"/>
    <col min="9998" max="9998" width="11" style="3" customWidth="1"/>
    <col min="9999" max="9999" width="11.125" style="3" customWidth="1"/>
    <col min="10000" max="10000" width="9.75" style="3" customWidth="1"/>
    <col min="10001" max="10001" width="10.375" style="3" customWidth="1"/>
    <col min="10002" max="10003" width="9.625" style="3" customWidth="1"/>
    <col min="10004" max="10004" width="10.875" style="3" customWidth="1"/>
    <col min="10005" max="10005" width="9.375" style="3" customWidth="1"/>
    <col min="10006" max="10006" width="10.25" style="3" customWidth="1"/>
    <col min="10007" max="10007" width="9.75" style="3" customWidth="1"/>
    <col min="10008" max="10008" width="9.25" style="3" customWidth="1"/>
    <col min="10009" max="10240" width="9" style="3"/>
    <col min="10241" max="10241" width="6.25" style="3" customWidth="1"/>
    <col min="10242" max="10242" width="10.125" style="3" customWidth="1"/>
    <col min="10243" max="10243" width="29.375" style="3" customWidth="1"/>
    <col min="10244" max="10252" width="0" style="3" hidden="1" customWidth="1"/>
    <col min="10253" max="10253" width="14.75" style="3" customWidth="1"/>
    <col min="10254" max="10254" width="11" style="3" customWidth="1"/>
    <col min="10255" max="10255" width="11.125" style="3" customWidth="1"/>
    <col min="10256" max="10256" width="9.75" style="3" customWidth="1"/>
    <col min="10257" max="10257" width="10.375" style="3" customWidth="1"/>
    <col min="10258" max="10259" width="9.625" style="3" customWidth="1"/>
    <col min="10260" max="10260" width="10.875" style="3" customWidth="1"/>
    <col min="10261" max="10261" width="9.375" style="3" customWidth="1"/>
    <col min="10262" max="10262" width="10.25" style="3" customWidth="1"/>
    <col min="10263" max="10263" width="9.75" style="3" customWidth="1"/>
    <col min="10264" max="10264" width="9.25" style="3" customWidth="1"/>
    <col min="10265" max="10496" width="9" style="3"/>
    <col min="10497" max="10497" width="6.25" style="3" customWidth="1"/>
    <col min="10498" max="10498" width="10.125" style="3" customWidth="1"/>
    <col min="10499" max="10499" width="29.375" style="3" customWidth="1"/>
    <col min="10500" max="10508" width="0" style="3" hidden="1" customWidth="1"/>
    <col min="10509" max="10509" width="14.75" style="3" customWidth="1"/>
    <col min="10510" max="10510" width="11" style="3" customWidth="1"/>
    <col min="10511" max="10511" width="11.125" style="3" customWidth="1"/>
    <col min="10512" max="10512" width="9.75" style="3" customWidth="1"/>
    <col min="10513" max="10513" width="10.375" style="3" customWidth="1"/>
    <col min="10514" max="10515" width="9.625" style="3" customWidth="1"/>
    <col min="10516" max="10516" width="10.875" style="3" customWidth="1"/>
    <col min="10517" max="10517" width="9.375" style="3" customWidth="1"/>
    <col min="10518" max="10518" width="10.25" style="3" customWidth="1"/>
    <col min="10519" max="10519" width="9.75" style="3" customWidth="1"/>
    <col min="10520" max="10520" width="9.25" style="3" customWidth="1"/>
    <col min="10521" max="10752" width="9" style="3"/>
    <col min="10753" max="10753" width="6.25" style="3" customWidth="1"/>
    <col min="10754" max="10754" width="10.125" style="3" customWidth="1"/>
    <col min="10755" max="10755" width="29.375" style="3" customWidth="1"/>
    <col min="10756" max="10764" width="0" style="3" hidden="1" customWidth="1"/>
    <col min="10765" max="10765" width="14.75" style="3" customWidth="1"/>
    <col min="10766" max="10766" width="11" style="3" customWidth="1"/>
    <col min="10767" max="10767" width="11.125" style="3" customWidth="1"/>
    <col min="10768" max="10768" width="9.75" style="3" customWidth="1"/>
    <col min="10769" max="10769" width="10.375" style="3" customWidth="1"/>
    <col min="10770" max="10771" width="9.625" style="3" customWidth="1"/>
    <col min="10772" max="10772" width="10.875" style="3" customWidth="1"/>
    <col min="10773" max="10773" width="9.375" style="3" customWidth="1"/>
    <col min="10774" max="10774" width="10.25" style="3" customWidth="1"/>
    <col min="10775" max="10775" width="9.75" style="3" customWidth="1"/>
    <col min="10776" max="10776" width="9.25" style="3" customWidth="1"/>
    <col min="10777" max="11008" width="9" style="3"/>
    <col min="11009" max="11009" width="6.25" style="3" customWidth="1"/>
    <col min="11010" max="11010" width="10.125" style="3" customWidth="1"/>
    <col min="11011" max="11011" width="29.375" style="3" customWidth="1"/>
    <col min="11012" max="11020" width="0" style="3" hidden="1" customWidth="1"/>
    <col min="11021" max="11021" width="14.75" style="3" customWidth="1"/>
    <col min="11022" max="11022" width="11" style="3" customWidth="1"/>
    <col min="11023" max="11023" width="11.125" style="3" customWidth="1"/>
    <col min="11024" max="11024" width="9.75" style="3" customWidth="1"/>
    <col min="11025" max="11025" width="10.375" style="3" customWidth="1"/>
    <col min="11026" max="11027" width="9.625" style="3" customWidth="1"/>
    <col min="11028" max="11028" width="10.875" style="3" customWidth="1"/>
    <col min="11029" max="11029" width="9.375" style="3" customWidth="1"/>
    <col min="11030" max="11030" width="10.25" style="3" customWidth="1"/>
    <col min="11031" max="11031" width="9.75" style="3" customWidth="1"/>
    <col min="11032" max="11032" width="9.25" style="3" customWidth="1"/>
    <col min="11033" max="11264" width="9" style="3"/>
    <col min="11265" max="11265" width="6.25" style="3" customWidth="1"/>
    <col min="11266" max="11266" width="10.125" style="3" customWidth="1"/>
    <col min="11267" max="11267" width="29.375" style="3" customWidth="1"/>
    <col min="11268" max="11276" width="0" style="3" hidden="1" customWidth="1"/>
    <col min="11277" max="11277" width="14.75" style="3" customWidth="1"/>
    <col min="11278" max="11278" width="11" style="3" customWidth="1"/>
    <col min="11279" max="11279" width="11.125" style="3" customWidth="1"/>
    <col min="11280" max="11280" width="9.75" style="3" customWidth="1"/>
    <col min="11281" max="11281" width="10.375" style="3" customWidth="1"/>
    <col min="11282" max="11283" width="9.625" style="3" customWidth="1"/>
    <col min="11284" max="11284" width="10.875" style="3" customWidth="1"/>
    <col min="11285" max="11285" width="9.375" style="3" customWidth="1"/>
    <col min="11286" max="11286" width="10.25" style="3" customWidth="1"/>
    <col min="11287" max="11287" width="9.75" style="3" customWidth="1"/>
    <col min="11288" max="11288" width="9.25" style="3" customWidth="1"/>
    <col min="11289" max="11520" width="9" style="3"/>
    <col min="11521" max="11521" width="6.25" style="3" customWidth="1"/>
    <col min="11522" max="11522" width="10.125" style="3" customWidth="1"/>
    <col min="11523" max="11523" width="29.375" style="3" customWidth="1"/>
    <col min="11524" max="11532" width="0" style="3" hidden="1" customWidth="1"/>
    <col min="11533" max="11533" width="14.75" style="3" customWidth="1"/>
    <col min="11534" max="11534" width="11" style="3" customWidth="1"/>
    <col min="11535" max="11535" width="11.125" style="3" customWidth="1"/>
    <col min="11536" max="11536" width="9.75" style="3" customWidth="1"/>
    <col min="11537" max="11537" width="10.375" style="3" customWidth="1"/>
    <col min="11538" max="11539" width="9.625" style="3" customWidth="1"/>
    <col min="11540" max="11540" width="10.875" style="3" customWidth="1"/>
    <col min="11541" max="11541" width="9.375" style="3" customWidth="1"/>
    <col min="11542" max="11542" width="10.25" style="3" customWidth="1"/>
    <col min="11543" max="11543" width="9.75" style="3" customWidth="1"/>
    <col min="11544" max="11544" width="9.25" style="3" customWidth="1"/>
    <col min="11545" max="11776" width="9" style="3"/>
    <col min="11777" max="11777" width="6.25" style="3" customWidth="1"/>
    <col min="11778" max="11778" width="10.125" style="3" customWidth="1"/>
    <col min="11779" max="11779" width="29.375" style="3" customWidth="1"/>
    <col min="11780" max="11788" width="0" style="3" hidden="1" customWidth="1"/>
    <col min="11789" max="11789" width="14.75" style="3" customWidth="1"/>
    <col min="11790" max="11790" width="11" style="3" customWidth="1"/>
    <col min="11791" max="11791" width="11.125" style="3" customWidth="1"/>
    <col min="11792" max="11792" width="9.75" style="3" customWidth="1"/>
    <col min="11793" max="11793" width="10.375" style="3" customWidth="1"/>
    <col min="11794" max="11795" width="9.625" style="3" customWidth="1"/>
    <col min="11796" max="11796" width="10.875" style="3" customWidth="1"/>
    <col min="11797" max="11797" width="9.375" style="3" customWidth="1"/>
    <col min="11798" max="11798" width="10.25" style="3" customWidth="1"/>
    <col min="11799" max="11799" width="9.75" style="3" customWidth="1"/>
    <col min="11800" max="11800" width="9.25" style="3" customWidth="1"/>
    <col min="11801" max="12032" width="9" style="3"/>
    <col min="12033" max="12033" width="6.25" style="3" customWidth="1"/>
    <col min="12034" max="12034" width="10.125" style="3" customWidth="1"/>
    <col min="12035" max="12035" width="29.375" style="3" customWidth="1"/>
    <col min="12036" max="12044" width="0" style="3" hidden="1" customWidth="1"/>
    <col min="12045" max="12045" width="14.75" style="3" customWidth="1"/>
    <col min="12046" max="12046" width="11" style="3" customWidth="1"/>
    <col min="12047" max="12047" width="11.125" style="3" customWidth="1"/>
    <col min="12048" max="12048" width="9.75" style="3" customWidth="1"/>
    <col min="12049" max="12049" width="10.375" style="3" customWidth="1"/>
    <col min="12050" max="12051" width="9.625" style="3" customWidth="1"/>
    <col min="12052" max="12052" width="10.875" style="3" customWidth="1"/>
    <col min="12053" max="12053" width="9.375" style="3" customWidth="1"/>
    <col min="12054" max="12054" width="10.25" style="3" customWidth="1"/>
    <col min="12055" max="12055" width="9.75" style="3" customWidth="1"/>
    <col min="12056" max="12056" width="9.25" style="3" customWidth="1"/>
    <col min="12057" max="12288" width="9" style="3"/>
    <col min="12289" max="12289" width="6.25" style="3" customWidth="1"/>
    <col min="12290" max="12290" width="10.125" style="3" customWidth="1"/>
    <col min="12291" max="12291" width="29.375" style="3" customWidth="1"/>
    <col min="12292" max="12300" width="0" style="3" hidden="1" customWidth="1"/>
    <col min="12301" max="12301" width="14.75" style="3" customWidth="1"/>
    <col min="12302" max="12302" width="11" style="3" customWidth="1"/>
    <col min="12303" max="12303" width="11.125" style="3" customWidth="1"/>
    <col min="12304" max="12304" width="9.75" style="3" customWidth="1"/>
    <col min="12305" max="12305" width="10.375" style="3" customWidth="1"/>
    <col min="12306" max="12307" width="9.625" style="3" customWidth="1"/>
    <col min="12308" max="12308" width="10.875" style="3" customWidth="1"/>
    <col min="12309" max="12309" width="9.375" style="3" customWidth="1"/>
    <col min="12310" max="12310" width="10.25" style="3" customWidth="1"/>
    <col min="12311" max="12311" width="9.75" style="3" customWidth="1"/>
    <col min="12312" max="12312" width="9.25" style="3" customWidth="1"/>
    <col min="12313" max="12544" width="9" style="3"/>
    <col min="12545" max="12545" width="6.25" style="3" customWidth="1"/>
    <col min="12546" max="12546" width="10.125" style="3" customWidth="1"/>
    <col min="12547" max="12547" width="29.375" style="3" customWidth="1"/>
    <col min="12548" max="12556" width="0" style="3" hidden="1" customWidth="1"/>
    <col min="12557" max="12557" width="14.75" style="3" customWidth="1"/>
    <col min="12558" max="12558" width="11" style="3" customWidth="1"/>
    <col min="12559" max="12559" width="11.125" style="3" customWidth="1"/>
    <col min="12560" max="12560" width="9.75" style="3" customWidth="1"/>
    <col min="12561" max="12561" width="10.375" style="3" customWidth="1"/>
    <col min="12562" max="12563" width="9.625" style="3" customWidth="1"/>
    <col min="12564" max="12564" width="10.875" style="3" customWidth="1"/>
    <col min="12565" max="12565" width="9.375" style="3" customWidth="1"/>
    <col min="12566" max="12566" width="10.25" style="3" customWidth="1"/>
    <col min="12567" max="12567" width="9.75" style="3" customWidth="1"/>
    <col min="12568" max="12568" width="9.25" style="3" customWidth="1"/>
    <col min="12569" max="12800" width="9" style="3"/>
    <col min="12801" max="12801" width="6.25" style="3" customWidth="1"/>
    <col min="12802" max="12802" width="10.125" style="3" customWidth="1"/>
    <col min="12803" max="12803" width="29.375" style="3" customWidth="1"/>
    <col min="12804" max="12812" width="0" style="3" hidden="1" customWidth="1"/>
    <col min="12813" max="12813" width="14.75" style="3" customWidth="1"/>
    <col min="12814" max="12814" width="11" style="3" customWidth="1"/>
    <col min="12815" max="12815" width="11.125" style="3" customWidth="1"/>
    <col min="12816" max="12816" width="9.75" style="3" customWidth="1"/>
    <col min="12817" max="12817" width="10.375" style="3" customWidth="1"/>
    <col min="12818" max="12819" width="9.625" style="3" customWidth="1"/>
    <col min="12820" max="12820" width="10.875" style="3" customWidth="1"/>
    <col min="12821" max="12821" width="9.375" style="3" customWidth="1"/>
    <col min="12822" max="12822" width="10.25" style="3" customWidth="1"/>
    <col min="12823" max="12823" width="9.75" style="3" customWidth="1"/>
    <col min="12824" max="12824" width="9.25" style="3" customWidth="1"/>
    <col min="12825" max="13056" width="9" style="3"/>
    <col min="13057" max="13057" width="6.25" style="3" customWidth="1"/>
    <col min="13058" max="13058" width="10.125" style="3" customWidth="1"/>
    <col min="13059" max="13059" width="29.375" style="3" customWidth="1"/>
    <col min="13060" max="13068" width="0" style="3" hidden="1" customWidth="1"/>
    <col min="13069" max="13069" width="14.75" style="3" customWidth="1"/>
    <col min="13070" max="13070" width="11" style="3" customWidth="1"/>
    <col min="13071" max="13071" width="11.125" style="3" customWidth="1"/>
    <col min="13072" max="13072" width="9.75" style="3" customWidth="1"/>
    <col min="13073" max="13073" width="10.375" style="3" customWidth="1"/>
    <col min="13074" max="13075" width="9.625" style="3" customWidth="1"/>
    <col min="13076" max="13076" width="10.875" style="3" customWidth="1"/>
    <col min="13077" max="13077" width="9.375" style="3" customWidth="1"/>
    <col min="13078" max="13078" width="10.25" style="3" customWidth="1"/>
    <col min="13079" max="13079" width="9.75" style="3" customWidth="1"/>
    <col min="13080" max="13080" width="9.25" style="3" customWidth="1"/>
    <col min="13081" max="13312" width="9" style="3"/>
    <col min="13313" max="13313" width="6.25" style="3" customWidth="1"/>
    <col min="13314" max="13314" width="10.125" style="3" customWidth="1"/>
    <col min="13315" max="13315" width="29.375" style="3" customWidth="1"/>
    <col min="13316" max="13324" width="0" style="3" hidden="1" customWidth="1"/>
    <col min="13325" max="13325" width="14.75" style="3" customWidth="1"/>
    <col min="13326" max="13326" width="11" style="3" customWidth="1"/>
    <col min="13327" max="13327" width="11.125" style="3" customWidth="1"/>
    <col min="13328" max="13328" width="9.75" style="3" customWidth="1"/>
    <col min="13329" max="13329" width="10.375" style="3" customWidth="1"/>
    <col min="13330" max="13331" width="9.625" style="3" customWidth="1"/>
    <col min="13332" max="13332" width="10.875" style="3" customWidth="1"/>
    <col min="13333" max="13333" width="9.375" style="3" customWidth="1"/>
    <col min="13334" max="13334" width="10.25" style="3" customWidth="1"/>
    <col min="13335" max="13335" width="9.75" style="3" customWidth="1"/>
    <col min="13336" max="13336" width="9.25" style="3" customWidth="1"/>
    <col min="13337" max="13568" width="9" style="3"/>
    <col min="13569" max="13569" width="6.25" style="3" customWidth="1"/>
    <col min="13570" max="13570" width="10.125" style="3" customWidth="1"/>
    <col min="13571" max="13571" width="29.375" style="3" customWidth="1"/>
    <col min="13572" max="13580" width="0" style="3" hidden="1" customWidth="1"/>
    <col min="13581" max="13581" width="14.75" style="3" customWidth="1"/>
    <col min="13582" max="13582" width="11" style="3" customWidth="1"/>
    <col min="13583" max="13583" width="11.125" style="3" customWidth="1"/>
    <col min="13584" max="13584" width="9.75" style="3" customWidth="1"/>
    <col min="13585" max="13585" width="10.375" style="3" customWidth="1"/>
    <col min="13586" max="13587" width="9.625" style="3" customWidth="1"/>
    <col min="13588" max="13588" width="10.875" style="3" customWidth="1"/>
    <col min="13589" max="13589" width="9.375" style="3" customWidth="1"/>
    <col min="13590" max="13590" width="10.25" style="3" customWidth="1"/>
    <col min="13591" max="13591" width="9.75" style="3" customWidth="1"/>
    <col min="13592" max="13592" width="9.25" style="3" customWidth="1"/>
    <col min="13593" max="13824" width="9" style="3"/>
    <col min="13825" max="13825" width="6.25" style="3" customWidth="1"/>
    <col min="13826" max="13826" width="10.125" style="3" customWidth="1"/>
    <col min="13827" max="13827" width="29.375" style="3" customWidth="1"/>
    <col min="13828" max="13836" width="0" style="3" hidden="1" customWidth="1"/>
    <col min="13837" max="13837" width="14.75" style="3" customWidth="1"/>
    <col min="13838" max="13838" width="11" style="3" customWidth="1"/>
    <col min="13839" max="13839" width="11.125" style="3" customWidth="1"/>
    <col min="13840" max="13840" width="9.75" style="3" customWidth="1"/>
    <col min="13841" max="13841" width="10.375" style="3" customWidth="1"/>
    <col min="13842" max="13843" width="9.625" style="3" customWidth="1"/>
    <col min="13844" max="13844" width="10.875" style="3" customWidth="1"/>
    <col min="13845" max="13845" width="9.375" style="3" customWidth="1"/>
    <col min="13846" max="13846" width="10.25" style="3" customWidth="1"/>
    <col min="13847" max="13847" width="9.75" style="3" customWidth="1"/>
    <col min="13848" max="13848" width="9.25" style="3" customWidth="1"/>
    <col min="13849" max="14080" width="9" style="3"/>
    <col min="14081" max="14081" width="6.25" style="3" customWidth="1"/>
    <col min="14082" max="14082" width="10.125" style="3" customWidth="1"/>
    <col min="14083" max="14083" width="29.375" style="3" customWidth="1"/>
    <col min="14084" max="14092" width="0" style="3" hidden="1" customWidth="1"/>
    <col min="14093" max="14093" width="14.75" style="3" customWidth="1"/>
    <col min="14094" max="14094" width="11" style="3" customWidth="1"/>
    <col min="14095" max="14095" width="11.125" style="3" customWidth="1"/>
    <col min="14096" max="14096" width="9.75" style="3" customWidth="1"/>
    <col min="14097" max="14097" width="10.375" style="3" customWidth="1"/>
    <col min="14098" max="14099" width="9.625" style="3" customWidth="1"/>
    <col min="14100" max="14100" width="10.875" style="3" customWidth="1"/>
    <col min="14101" max="14101" width="9.375" style="3" customWidth="1"/>
    <col min="14102" max="14102" width="10.25" style="3" customWidth="1"/>
    <col min="14103" max="14103" width="9.75" style="3" customWidth="1"/>
    <col min="14104" max="14104" width="9.25" style="3" customWidth="1"/>
    <col min="14105" max="14336" width="9" style="3"/>
    <col min="14337" max="14337" width="6.25" style="3" customWidth="1"/>
    <col min="14338" max="14338" width="10.125" style="3" customWidth="1"/>
    <col min="14339" max="14339" width="29.375" style="3" customWidth="1"/>
    <col min="14340" max="14348" width="0" style="3" hidden="1" customWidth="1"/>
    <col min="14349" max="14349" width="14.75" style="3" customWidth="1"/>
    <col min="14350" max="14350" width="11" style="3" customWidth="1"/>
    <col min="14351" max="14351" width="11.125" style="3" customWidth="1"/>
    <col min="14352" max="14352" width="9.75" style="3" customWidth="1"/>
    <col min="14353" max="14353" width="10.375" style="3" customWidth="1"/>
    <col min="14354" max="14355" width="9.625" style="3" customWidth="1"/>
    <col min="14356" max="14356" width="10.875" style="3" customWidth="1"/>
    <col min="14357" max="14357" width="9.375" style="3" customWidth="1"/>
    <col min="14358" max="14358" width="10.25" style="3" customWidth="1"/>
    <col min="14359" max="14359" width="9.75" style="3" customWidth="1"/>
    <col min="14360" max="14360" width="9.25" style="3" customWidth="1"/>
    <col min="14361" max="14592" width="9" style="3"/>
    <col min="14593" max="14593" width="6.25" style="3" customWidth="1"/>
    <col min="14594" max="14594" width="10.125" style="3" customWidth="1"/>
    <col min="14595" max="14595" width="29.375" style="3" customWidth="1"/>
    <col min="14596" max="14604" width="0" style="3" hidden="1" customWidth="1"/>
    <col min="14605" max="14605" width="14.75" style="3" customWidth="1"/>
    <col min="14606" max="14606" width="11" style="3" customWidth="1"/>
    <col min="14607" max="14607" width="11.125" style="3" customWidth="1"/>
    <col min="14608" max="14608" width="9.75" style="3" customWidth="1"/>
    <col min="14609" max="14609" width="10.375" style="3" customWidth="1"/>
    <col min="14610" max="14611" width="9.625" style="3" customWidth="1"/>
    <col min="14612" max="14612" width="10.875" style="3" customWidth="1"/>
    <col min="14613" max="14613" width="9.375" style="3" customWidth="1"/>
    <col min="14614" max="14614" width="10.25" style="3" customWidth="1"/>
    <col min="14615" max="14615" width="9.75" style="3" customWidth="1"/>
    <col min="14616" max="14616" width="9.25" style="3" customWidth="1"/>
    <col min="14617" max="14848" width="9" style="3"/>
    <col min="14849" max="14849" width="6.25" style="3" customWidth="1"/>
    <col min="14850" max="14850" width="10.125" style="3" customWidth="1"/>
    <col min="14851" max="14851" width="29.375" style="3" customWidth="1"/>
    <col min="14852" max="14860" width="0" style="3" hidden="1" customWidth="1"/>
    <col min="14861" max="14861" width="14.75" style="3" customWidth="1"/>
    <col min="14862" max="14862" width="11" style="3" customWidth="1"/>
    <col min="14863" max="14863" width="11.125" style="3" customWidth="1"/>
    <col min="14864" max="14864" width="9.75" style="3" customWidth="1"/>
    <col min="14865" max="14865" width="10.375" style="3" customWidth="1"/>
    <col min="14866" max="14867" width="9.625" style="3" customWidth="1"/>
    <col min="14868" max="14868" width="10.875" style="3" customWidth="1"/>
    <col min="14869" max="14869" width="9.375" style="3" customWidth="1"/>
    <col min="14870" max="14870" width="10.25" style="3" customWidth="1"/>
    <col min="14871" max="14871" width="9.75" style="3" customWidth="1"/>
    <col min="14872" max="14872" width="9.25" style="3" customWidth="1"/>
    <col min="14873" max="15104" width="9" style="3"/>
    <col min="15105" max="15105" width="6.25" style="3" customWidth="1"/>
    <col min="15106" max="15106" width="10.125" style="3" customWidth="1"/>
    <col min="15107" max="15107" width="29.375" style="3" customWidth="1"/>
    <col min="15108" max="15116" width="0" style="3" hidden="1" customWidth="1"/>
    <col min="15117" max="15117" width="14.75" style="3" customWidth="1"/>
    <col min="15118" max="15118" width="11" style="3" customWidth="1"/>
    <col min="15119" max="15119" width="11.125" style="3" customWidth="1"/>
    <col min="15120" max="15120" width="9.75" style="3" customWidth="1"/>
    <col min="15121" max="15121" width="10.375" style="3" customWidth="1"/>
    <col min="15122" max="15123" width="9.625" style="3" customWidth="1"/>
    <col min="15124" max="15124" width="10.875" style="3" customWidth="1"/>
    <col min="15125" max="15125" width="9.375" style="3" customWidth="1"/>
    <col min="15126" max="15126" width="10.25" style="3" customWidth="1"/>
    <col min="15127" max="15127" width="9.75" style="3" customWidth="1"/>
    <col min="15128" max="15128" width="9.25" style="3" customWidth="1"/>
    <col min="15129" max="15360" width="9" style="3"/>
    <col min="15361" max="15361" width="6.25" style="3" customWidth="1"/>
    <col min="15362" max="15362" width="10.125" style="3" customWidth="1"/>
    <col min="15363" max="15363" width="29.375" style="3" customWidth="1"/>
    <col min="15364" max="15372" width="0" style="3" hidden="1" customWidth="1"/>
    <col min="15373" max="15373" width="14.75" style="3" customWidth="1"/>
    <col min="15374" max="15374" width="11" style="3" customWidth="1"/>
    <col min="15375" max="15375" width="11.125" style="3" customWidth="1"/>
    <col min="15376" max="15376" width="9.75" style="3" customWidth="1"/>
    <col min="15377" max="15377" width="10.375" style="3" customWidth="1"/>
    <col min="15378" max="15379" width="9.625" style="3" customWidth="1"/>
    <col min="15380" max="15380" width="10.875" style="3" customWidth="1"/>
    <col min="15381" max="15381" width="9.375" style="3" customWidth="1"/>
    <col min="15382" max="15382" width="10.25" style="3" customWidth="1"/>
    <col min="15383" max="15383" width="9.75" style="3" customWidth="1"/>
    <col min="15384" max="15384" width="9.25" style="3" customWidth="1"/>
    <col min="15385" max="15616" width="9" style="3"/>
    <col min="15617" max="15617" width="6.25" style="3" customWidth="1"/>
    <col min="15618" max="15618" width="10.125" style="3" customWidth="1"/>
    <col min="15619" max="15619" width="29.375" style="3" customWidth="1"/>
    <col min="15620" max="15628" width="0" style="3" hidden="1" customWidth="1"/>
    <col min="15629" max="15629" width="14.75" style="3" customWidth="1"/>
    <col min="15630" max="15630" width="11" style="3" customWidth="1"/>
    <col min="15631" max="15631" width="11.125" style="3" customWidth="1"/>
    <col min="15632" max="15632" width="9.75" style="3" customWidth="1"/>
    <col min="15633" max="15633" width="10.375" style="3" customWidth="1"/>
    <col min="15634" max="15635" width="9.625" style="3" customWidth="1"/>
    <col min="15636" max="15636" width="10.875" style="3" customWidth="1"/>
    <col min="15637" max="15637" width="9.375" style="3" customWidth="1"/>
    <col min="15638" max="15638" width="10.25" style="3" customWidth="1"/>
    <col min="15639" max="15639" width="9.75" style="3" customWidth="1"/>
    <col min="15640" max="15640" width="9.25" style="3" customWidth="1"/>
    <col min="15641" max="15872" width="9" style="3"/>
    <col min="15873" max="15873" width="6.25" style="3" customWidth="1"/>
    <col min="15874" max="15874" width="10.125" style="3" customWidth="1"/>
    <col min="15875" max="15875" width="29.375" style="3" customWidth="1"/>
    <col min="15876" max="15884" width="0" style="3" hidden="1" customWidth="1"/>
    <col min="15885" max="15885" width="14.75" style="3" customWidth="1"/>
    <col min="15886" max="15886" width="11" style="3" customWidth="1"/>
    <col min="15887" max="15887" width="11.125" style="3" customWidth="1"/>
    <col min="15888" max="15888" width="9.75" style="3" customWidth="1"/>
    <col min="15889" max="15889" width="10.375" style="3" customWidth="1"/>
    <col min="15890" max="15891" width="9.625" style="3" customWidth="1"/>
    <col min="15892" max="15892" width="10.875" style="3" customWidth="1"/>
    <col min="15893" max="15893" width="9.375" style="3" customWidth="1"/>
    <col min="15894" max="15894" width="10.25" style="3" customWidth="1"/>
    <col min="15895" max="15895" width="9.75" style="3" customWidth="1"/>
    <col min="15896" max="15896" width="9.25" style="3" customWidth="1"/>
    <col min="15897" max="16128" width="9" style="3"/>
    <col min="16129" max="16129" width="6.25" style="3" customWidth="1"/>
    <col min="16130" max="16130" width="10.125" style="3" customWidth="1"/>
    <col min="16131" max="16131" width="29.375" style="3" customWidth="1"/>
    <col min="16132" max="16140" width="0" style="3" hidden="1" customWidth="1"/>
    <col min="16141" max="16141" width="14.75" style="3" customWidth="1"/>
    <col min="16142" max="16142" width="11" style="3" customWidth="1"/>
    <col min="16143" max="16143" width="11.125" style="3" customWidth="1"/>
    <col min="16144" max="16144" width="9.75" style="3" customWidth="1"/>
    <col min="16145" max="16145" width="10.375" style="3" customWidth="1"/>
    <col min="16146" max="16147" width="9.625" style="3" customWidth="1"/>
    <col min="16148" max="16148" width="10.875" style="3" customWidth="1"/>
    <col min="16149" max="16149" width="9.375" style="3" customWidth="1"/>
    <col min="16150" max="16150" width="10.25" style="3" customWidth="1"/>
    <col min="16151" max="16151" width="9.75" style="3" customWidth="1"/>
    <col min="16152" max="16152" width="9.25" style="3" customWidth="1"/>
    <col min="16153" max="16384" width="9" style="3"/>
  </cols>
  <sheetData>
    <row r="1" spans="1:24" ht="26.25">
      <c r="A1" s="1" t="s">
        <v>0</v>
      </c>
      <c r="B1" s="2"/>
      <c r="E1" s="4"/>
      <c r="F1" s="4"/>
      <c r="G1" s="5"/>
      <c r="H1" s="5"/>
      <c r="I1" s="5"/>
      <c r="J1" s="4"/>
      <c r="K1" s="4"/>
      <c r="L1" s="6"/>
      <c r="N1" s="6"/>
      <c r="O1" s="6"/>
      <c r="P1" s="4"/>
      <c r="Q1" s="4"/>
      <c r="R1" s="4"/>
      <c r="S1" s="4"/>
      <c r="T1" s="4"/>
      <c r="U1" s="4"/>
      <c r="V1" s="4"/>
      <c r="W1" s="1369" t="s">
        <v>1</v>
      </c>
      <c r="X1" s="1369"/>
    </row>
    <row r="2" spans="1:24" ht="26.25">
      <c r="A2" s="7" t="s">
        <v>2</v>
      </c>
      <c r="B2" s="8"/>
      <c r="E2" s="9"/>
      <c r="F2" s="9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>
      <c r="A3" s="1370" t="s">
        <v>3</v>
      </c>
      <c r="B3" s="13"/>
      <c r="C3" s="1353" t="s">
        <v>4</v>
      </c>
      <c r="D3" s="1353" t="s">
        <v>5</v>
      </c>
      <c r="E3" s="1353" t="s">
        <v>6</v>
      </c>
      <c r="F3" s="1353" t="s">
        <v>7</v>
      </c>
      <c r="G3" s="1353" t="s">
        <v>8</v>
      </c>
      <c r="H3" s="1353" t="s">
        <v>9</v>
      </c>
      <c r="I3" s="1353" t="s">
        <v>10</v>
      </c>
      <c r="J3" s="1353" t="s">
        <v>11</v>
      </c>
      <c r="K3" s="1376" t="s">
        <v>12</v>
      </c>
      <c r="L3" s="1353" t="s">
        <v>13</v>
      </c>
      <c r="M3" s="1353" t="s">
        <v>14</v>
      </c>
      <c r="N3" s="388"/>
      <c r="O3" s="13"/>
      <c r="P3" s="1350"/>
      <c r="Q3" s="1350"/>
      <c r="R3" s="1350"/>
      <c r="S3" s="1350"/>
      <c r="T3" s="1350"/>
      <c r="U3" s="1350"/>
      <c r="V3" s="1350"/>
      <c r="W3" s="1350"/>
      <c r="X3" s="1351"/>
    </row>
    <row r="4" spans="1:24">
      <c r="A4" s="1371"/>
      <c r="B4" s="16"/>
      <c r="C4" s="1356"/>
      <c r="D4" s="1356"/>
      <c r="E4" s="1356"/>
      <c r="F4" s="1356"/>
      <c r="G4" s="1356"/>
      <c r="H4" s="1356"/>
      <c r="I4" s="1356"/>
      <c r="J4" s="1356"/>
      <c r="K4" s="1377"/>
      <c r="L4" s="1356"/>
      <c r="M4" s="1356"/>
      <c r="N4" s="15" t="s">
        <v>15</v>
      </c>
      <c r="O4" s="16" t="s">
        <v>16</v>
      </c>
      <c r="P4" s="1352" t="s">
        <v>17</v>
      </c>
      <c r="Q4" s="1350"/>
      <c r="R4" s="1350"/>
      <c r="S4" s="1351"/>
      <c r="T4" s="1353" t="s">
        <v>18</v>
      </c>
      <c r="U4" s="1352" t="s">
        <v>19</v>
      </c>
      <c r="V4" s="1350"/>
      <c r="W4" s="1351"/>
      <c r="X4" s="1353" t="s">
        <v>20</v>
      </c>
    </row>
    <row r="5" spans="1:24" ht="84">
      <c r="A5" s="1372"/>
      <c r="B5" s="18" t="s">
        <v>21</v>
      </c>
      <c r="C5" s="1354"/>
      <c r="D5" s="1354"/>
      <c r="E5" s="1354"/>
      <c r="F5" s="1354"/>
      <c r="G5" s="1354"/>
      <c r="H5" s="1354"/>
      <c r="I5" s="1354"/>
      <c r="J5" s="1354"/>
      <c r="K5" s="1378"/>
      <c r="L5" s="1354"/>
      <c r="M5" s="1354"/>
      <c r="N5" s="18" t="s">
        <v>22</v>
      </c>
      <c r="O5" s="18" t="s">
        <v>23</v>
      </c>
      <c r="P5" s="13" t="s">
        <v>24</v>
      </c>
      <c r="Q5" s="13" t="s">
        <v>25</v>
      </c>
      <c r="R5" s="13" t="s">
        <v>26</v>
      </c>
      <c r="S5" s="13" t="s">
        <v>27</v>
      </c>
      <c r="T5" s="1354"/>
      <c r="U5" s="19" t="s">
        <v>28</v>
      </c>
      <c r="V5" s="19" t="s">
        <v>29</v>
      </c>
      <c r="W5" s="13" t="s">
        <v>30</v>
      </c>
      <c r="X5" s="1355"/>
    </row>
    <row r="6" spans="1:24" s="22" customFormat="1">
      <c r="A6" s="20">
        <v>1</v>
      </c>
      <c r="B6" s="20" t="s">
        <v>31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1"/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</row>
    <row r="7" spans="1:24" s="28" customFormat="1" ht="31.5">
      <c r="A7" s="335" t="s">
        <v>32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7"/>
      <c r="O7" s="27"/>
      <c r="P7" s="26"/>
      <c r="Q7" s="26"/>
      <c r="R7" s="26"/>
      <c r="S7" s="26"/>
      <c r="T7" s="26"/>
      <c r="U7" s="26"/>
      <c r="V7" s="26"/>
      <c r="W7" s="26"/>
      <c r="X7" s="26"/>
    </row>
    <row r="8" spans="1:24" s="35" customFormat="1" ht="26.25">
      <c r="A8" s="29" t="s">
        <v>33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51">
        <f>M11+M12+M24+M25</f>
        <v>22811900</v>
      </c>
      <c r="N8" s="352" t="s">
        <v>546</v>
      </c>
      <c r="O8" s="497">
        <f>22811900</f>
        <v>22811900</v>
      </c>
      <c r="P8" s="498">
        <f>O8-M8</f>
        <v>0</v>
      </c>
      <c r="Q8" s="31"/>
      <c r="R8" s="31"/>
      <c r="S8" s="31"/>
      <c r="T8" s="31"/>
      <c r="U8" s="31"/>
      <c r="V8" s="31"/>
      <c r="W8" s="31"/>
      <c r="X8" s="174"/>
    </row>
    <row r="9" spans="1:24" s="43" customFormat="1" ht="26.25" hidden="1">
      <c r="A9" s="36" t="s">
        <v>35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2">
        <f>M11+M12+M24+M25</f>
        <v>22811900</v>
      </c>
      <c r="N9" s="39"/>
      <c r="O9" s="40"/>
      <c r="P9" s="41" t="s">
        <v>34</v>
      </c>
      <c r="Q9" s="42"/>
      <c r="R9" s="42"/>
      <c r="S9" s="42" t="s">
        <v>34</v>
      </c>
      <c r="T9" s="42"/>
      <c r="U9" s="42"/>
      <c r="V9" s="42"/>
      <c r="W9" s="42"/>
      <c r="X9" s="42"/>
    </row>
    <row r="10" spans="1:24" s="43" customFormat="1" ht="25.5" hidden="1">
      <c r="A10" s="36" t="s">
        <v>36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N10" s="345" t="s">
        <v>37</v>
      </c>
      <c r="O10" s="346">
        <f>M9-M8</f>
        <v>0</v>
      </c>
      <c r="P10" s="347" t="s">
        <v>38</v>
      </c>
      <c r="Q10" s="348"/>
      <c r="R10" s="348"/>
      <c r="S10" s="349" t="s">
        <v>39</v>
      </c>
      <c r="T10" s="349"/>
      <c r="U10" s="38"/>
      <c r="V10" s="38"/>
      <c r="W10" s="38"/>
      <c r="X10" s="50"/>
    </row>
    <row r="11" spans="1:24" s="58" customFormat="1" ht="63">
      <c r="A11" s="51" t="s">
        <v>40</v>
      </c>
      <c r="B11" s="52" t="s">
        <v>41</v>
      </c>
      <c r="C11" s="52" t="s">
        <v>42</v>
      </c>
      <c r="D11" s="52"/>
      <c r="E11" s="53"/>
      <c r="F11" s="52"/>
      <c r="G11" s="54"/>
      <c r="H11" s="54"/>
      <c r="I11" s="52"/>
      <c r="J11" s="52"/>
      <c r="K11" s="52"/>
      <c r="L11" s="55"/>
      <c r="M11" s="55">
        <f>N11+O11+S11+T11+W11+X11</f>
        <v>19380740</v>
      </c>
      <c r="N11" s="55">
        <v>16613300</v>
      </c>
      <c r="O11" s="55">
        <v>630000</v>
      </c>
      <c r="P11" s="55">
        <v>127400</v>
      </c>
      <c r="Q11" s="55">
        <v>190200</v>
      </c>
      <c r="R11" s="55">
        <f>2891000-M12-M24</f>
        <v>1819840</v>
      </c>
      <c r="S11" s="64">
        <f>P11+Q11+R11</f>
        <v>2137440</v>
      </c>
      <c r="T11" s="55">
        <v>0</v>
      </c>
      <c r="U11" s="55">
        <v>0</v>
      </c>
      <c r="V11" s="55">
        <v>0</v>
      </c>
      <c r="W11" s="55">
        <f>U11+V11</f>
        <v>0</v>
      </c>
      <c r="X11" s="55">
        <v>0</v>
      </c>
    </row>
    <row r="12" spans="1:24" s="68" customFormat="1" ht="42">
      <c r="C12" s="68" t="s">
        <v>559</v>
      </c>
      <c r="M12" s="74">
        <f>SUM(M13:M23)</f>
        <v>871160</v>
      </c>
      <c r="O12" s="68" t="s">
        <v>34</v>
      </c>
      <c r="S12" s="68" t="s">
        <v>34</v>
      </c>
    </row>
    <row r="13" spans="1:24" s="76" customFormat="1" ht="41.25" customHeight="1">
      <c r="A13" s="66" t="s">
        <v>44</v>
      </c>
      <c r="B13" s="67" t="s">
        <v>45</v>
      </c>
      <c r="C13" s="68" t="s">
        <v>46</v>
      </c>
      <c r="D13" s="69" t="s">
        <v>47</v>
      </c>
      <c r="E13" s="69" t="s">
        <v>48</v>
      </c>
      <c r="F13" s="70" t="s">
        <v>49</v>
      </c>
      <c r="G13" s="71"/>
      <c r="H13" s="71"/>
      <c r="I13" s="18" t="s">
        <v>50</v>
      </c>
      <c r="J13" s="69"/>
      <c r="K13" s="69"/>
      <c r="L13" s="72"/>
      <c r="M13" s="73">
        <f>N13+O13+S13+T13+W13+X13</f>
        <v>7000</v>
      </c>
      <c r="N13" s="74">
        <v>0</v>
      </c>
      <c r="O13" s="75">
        <v>0</v>
      </c>
      <c r="P13" s="75">
        <v>0</v>
      </c>
      <c r="Q13" s="75">
        <v>6600</v>
      </c>
      <c r="R13" s="75">
        <v>400</v>
      </c>
      <c r="S13" s="73">
        <f>SUM(P13:R13)</f>
        <v>7000</v>
      </c>
      <c r="T13" s="75">
        <v>0</v>
      </c>
      <c r="U13" s="75">
        <v>0</v>
      </c>
      <c r="V13" s="73">
        <v>0</v>
      </c>
      <c r="W13" s="73">
        <f>U13+V13</f>
        <v>0</v>
      </c>
      <c r="X13" s="73">
        <v>0</v>
      </c>
    </row>
    <row r="14" spans="1:24" s="76" customFormat="1" ht="63.75" customHeight="1">
      <c r="A14" s="66" t="s">
        <v>54</v>
      </c>
      <c r="B14" s="67" t="s">
        <v>55</v>
      </c>
      <c r="C14" s="68" t="s">
        <v>56</v>
      </c>
      <c r="D14" s="68"/>
      <c r="E14" s="88"/>
      <c r="F14" s="68"/>
      <c r="G14" s="89"/>
      <c r="H14" s="89"/>
      <c r="I14" s="90" t="s">
        <v>57</v>
      </c>
      <c r="J14" s="68"/>
      <c r="K14" s="68"/>
      <c r="L14" s="74"/>
      <c r="M14" s="73">
        <f>N14+O14+S14+T14+W14+X14</f>
        <v>38000</v>
      </c>
      <c r="N14" s="72">
        <v>0</v>
      </c>
      <c r="O14" s="91">
        <v>0</v>
      </c>
      <c r="P14" s="91">
        <v>0</v>
      </c>
      <c r="Q14" s="75">
        <v>38000</v>
      </c>
      <c r="R14" s="75">
        <v>0</v>
      </c>
      <c r="S14" s="73">
        <f>P14+Q14+R14</f>
        <v>38000</v>
      </c>
      <c r="T14" s="91">
        <v>0</v>
      </c>
      <c r="U14" s="91">
        <v>0</v>
      </c>
      <c r="V14" s="92">
        <v>0</v>
      </c>
      <c r="W14" s="92">
        <f>U14+V14</f>
        <v>0</v>
      </c>
      <c r="X14" s="92">
        <v>0</v>
      </c>
    </row>
    <row r="15" spans="1:24" s="76" customFormat="1" ht="62.25" customHeight="1">
      <c r="A15" s="66" t="s">
        <v>66</v>
      </c>
      <c r="B15" s="67" t="s">
        <v>55</v>
      </c>
      <c r="C15" s="68" t="s">
        <v>67</v>
      </c>
      <c r="D15" s="68"/>
      <c r="E15" s="88"/>
      <c r="F15" s="68"/>
      <c r="G15" s="89"/>
      <c r="H15" s="89"/>
      <c r="I15" s="90" t="s">
        <v>57</v>
      </c>
      <c r="J15" s="68"/>
      <c r="K15" s="68"/>
      <c r="L15" s="74"/>
      <c r="M15" s="73">
        <f>N15+O15+S15+T15+W15+X15</f>
        <v>18000</v>
      </c>
      <c r="N15" s="72">
        <v>0</v>
      </c>
      <c r="O15" s="91">
        <v>0</v>
      </c>
      <c r="P15" s="91">
        <v>0</v>
      </c>
      <c r="Q15" s="75">
        <v>17025</v>
      </c>
      <c r="R15" s="75">
        <v>975</v>
      </c>
      <c r="S15" s="73">
        <f>P15+Q15+R15</f>
        <v>18000</v>
      </c>
      <c r="T15" s="91">
        <v>0</v>
      </c>
      <c r="U15" s="91">
        <v>0</v>
      </c>
      <c r="V15" s="92">
        <v>0</v>
      </c>
      <c r="W15" s="92">
        <f>U15+V15</f>
        <v>0</v>
      </c>
      <c r="X15" s="92">
        <v>0</v>
      </c>
    </row>
    <row r="16" spans="1:24" s="76" customFormat="1" ht="42.75" customHeight="1">
      <c r="A16" s="66" t="s">
        <v>73</v>
      </c>
      <c r="B16" s="67" t="s">
        <v>55</v>
      </c>
      <c r="C16" s="96" t="s">
        <v>74</v>
      </c>
      <c r="D16" s="96"/>
      <c r="E16" s="97"/>
      <c r="F16" s="96"/>
      <c r="G16" s="98"/>
      <c r="H16" s="98"/>
      <c r="I16" s="90" t="s">
        <v>57</v>
      </c>
      <c r="J16" s="96"/>
      <c r="K16" s="96"/>
      <c r="L16" s="99"/>
      <c r="M16" s="73">
        <f>N16+O16+S16+T16+W16+X16</f>
        <v>80000</v>
      </c>
      <c r="N16" s="100">
        <v>0</v>
      </c>
      <c r="O16" s="101">
        <v>0</v>
      </c>
      <c r="P16" s="101">
        <v>0</v>
      </c>
      <c r="Q16" s="102">
        <v>2400</v>
      </c>
      <c r="R16" s="102">
        <v>72600</v>
      </c>
      <c r="S16" s="73">
        <f>P16+Q16+R16</f>
        <v>75000</v>
      </c>
      <c r="T16" s="101">
        <v>5000</v>
      </c>
      <c r="U16" s="101">
        <v>0</v>
      </c>
      <c r="V16" s="92">
        <v>0</v>
      </c>
      <c r="W16" s="92">
        <f>U16+V16</f>
        <v>0</v>
      </c>
      <c r="X16" s="92">
        <v>0</v>
      </c>
    </row>
    <row r="17" spans="1:24" s="76" customFormat="1" ht="42" customHeight="1">
      <c r="A17" s="66" t="s">
        <v>80</v>
      </c>
      <c r="B17" s="308" t="s">
        <v>81</v>
      </c>
      <c r="C17" s="68" t="s">
        <v>82</v>
      </c>
      <c r="D17" s="103" t="s">
        <v>83</v>
      </c>
      <c r="E17" s="104" t="s">
        <v>84</v>
      </c>
      <c r="F17" s="68" t="s">
        <v>85</v>
      </c>
      <c r="G17" s="89"/>
      <c r="H17" s="89"/>
      <c r="I17" s="90"/>
      <c r="J17" s="68"/>
      <c r="K17" s="68"/>
      <c r="L17" s="74"/>
      <c r="M17" s="74">
        <f>Q17</f>
        <v>6000</v>
      </c>
      <c r="N17" s="72">
        <v>0</v>
      </c>
      <c r="O17" s="91">
        <v>0</v>
      </c>
      <c r="P17" s="91">
        <v>0</v>
      </c>
      <c r="Q17" s="75">
        <v>6000</v>
      </c>
      <c r="R17" s="75">
        <v>0</v>
      </c>
      <c r="S17" s="73">
        <f>P17+Q17+R17</f>
        <v>6000</v>
      </c>
      <c r="T17" s="91">
        <v>0</v>
      </c>
      <c r="U17" s="91">
        <v>0</v>
      </c>
      <c r="V17" s="92">
        <v>0</v>
      </c>
      <c r="W17" s="92">
        <f>U17+V17</f>
        <v>0</v>
      </c>
      <c r="X17" s="92">
        <v>0</v>
      </c>
    </row>
    <row r="18" spans="1:24" s="76" customFormat="1" ht="45" customHeight="1">
      <c r="A18" s="66" t="s">
        <v>88</v>
      </c>
      <c r="B18" s="310" t="s">
        <v>89</v>
      </c>
      <c r="C18" s="68" t="s">
        <v>90</v>
      </c>
      <c r="D18" s="68" t="s">
        <v>91</v>
      </c>
      <c r="E18" s="88" t="s">
        <v>92</v>
      </c>
      <c r="F18" s="68" t="s">
        <v>93</v>
      </c>
      <c r="G18" s="89"/>
      <c r="H18" s="89"/>
      <c r="I18" s="90" t="s">
        <v>57</v>
      </c>
      <c r="J18" s="68"/>
      <c r="K18" s="68"/>
      <c r="L18" s="74"/>
      <c r="M18" s="74">
        <f t="shared" ref="M18:M24" si="0">N18+O18+S18+T18+W18+X18</f>
        <v>20360</v>
      </c>
      <c r="N18" s="74">
        <v>0</v>
      </c>
      <c r="O18" s="75">
        <v>0</v>
      </c>
      <c r="P18" s="75">
        <v>1600</v>
      </c>
      <c r="Q18" s="75">
        <v>18760</v>
      </c>
      <c r="R18" s="75">
        <v>0</v>
      </c>
      <c r="S18" s="75">
        <f t="shared" ref="S18:S24" si="1">SUM(P18:R18)</f>
        <v>20360</v>
      </c>
      <c r="T18" s="75">
        <v>0</v>
      </c>
      <c r="U18" s="75">
        <v>0</v>
      </c>
      <c r="V18" s="73">
        <v>0</v>
      </c>
      <c r="W18" s="73">
        <f>SUM(U18:V18)</f>
        <v>0</v>
      </c>
      <c r="X18" s="73"/>
    </row>
    <row r="19" spans="1:24" s="76" customFormat="1" ht="42.75" customHeight="1">
      <c r="A19" s="114" t="s">
        <v>100</v>
      </c>
      <c r="B19" s="313" t="s">
        <v>101</v>
      </c>
      <c r="C19" s="96" t="s">
        <v>102</v>
      </c>
      <c r="D19" s="96"/>
      <c r="E19" s="97"/>
      <c r="F19" s="96"/>
      <c r="G19" s="98"/>
      <c r="H19" s="98"/>
      <c r="I19" s="90" t="s">
        <v>57</v>
      </c>
      <c r="J19" s="96"/>
      <c r="K19" s="96"/>
      <c r="L19" s="99"/>
      <c r="M19" s="99">
        <f t="shared" si="0"/>
        <v>80000</v>
      </c>
      <c r="N19" s="99">
        <v>0</v>
      </c>
      <c r="O19" s="102">
        <v>0</v>
      </c>
      <c r="P19" s="102">
        <v>0</v>
      </c>
      <c r="Q19" s="102">
        <v>80000</v>
      </c>
      <c r="R19" s="102">
        <v>0</v>
      </c>
      <c r="S19" s="102">
        <f t="shared" si="1"/>
        <v>80000</v>
      </c>
      <c r="T19" s="102">
        <v>0</v>
      </c>
      <c r="U19" s="102">
        <v>0</v>
      </c>
      <c r="V19" s="73">
        <v>0</v>
      </c>
      <c r="W19" s="73">
        <f>SUM(U19:V19)</f>
        <v>0</v>
      </c>
      <c r="X19" s="73">
        <v>0</v>
      </c>
    </row>
    <row r="20" spans="1:24" s="76" customFormat="1" ht="23.25" customHeight="1">
      <c r="A20" s="66" t="s">
        <v>105</v>
      </c>
      <c r="B20" s="308" t="s">
        <v>455</v>
      </c>
      <c r="C20" s="68" t="s">
        <v>107</v>
      </c>
      <c r="D20" s="68"/>
      <c r="E20" s="88"/>
      <c r="F20" s="68"/>
      <c r="G20" s="89"/>
      <c r="H20" s="89"/>
      <c r="I20" s="90" t="s">
        <v>57</v>
      </c>
      <c r="J20" s="68"/>
      <c r="K20" s="68"/>
      <c r="L20" s="74"/>
      <c r="M20" s="74">
        <f t="shared" si="0"/>
        <v>350000</v>
      </c>
      <c r="N20" s="74">
        <v>0</v>
      </c>
      <c r="O20" s="75">
        <v>0</v>
      </c>
      <c r="P20" s="75">
        <v>0</v>
      </c>
      <c r="Q20" s="75">
        <v>350000</v>
      </c>
      <c r="R20" s="75">
        <v>0</v>
      </c>
      <c r="S20" s="75">
        <f t="shared" si="1"/>
        <v>350000</v>
      </c>
      <c r="T20" s="75"/>
      <c r="U20" s="75"/>
      <c r="V20" s="73"/>
      <c r="W20" s="73"/>
      <c r="X20" s="73"/>
    </row>
    <row r="21" spans="1:24" s="117" customFormat="1" ht="54">
      <c r="A21" s="114" t="s">
        <v>109</v>
      </c>
      <c r="B21" s="269" t="s">
        <v>41</v>
      </c>
      <c r="C21" s="115" t="s">
        <v>110</v>
      </c>
      <c r="D21" s="115"/>
      <c r="E21" s="115"/>
      <c r="F21" s="115"/>
      <c r="G21" s="115"/>
      <c r="H21" s="115"/>
      <c r="I21" s="115"/>
      <c r="J21" s="115"/>
      <c r="K21" s="115"/>
      <c r="L21" s="115"/>
      <c r="M21" s="74">
        <f t="shared" si="0"/>
        <v>100000</v>
      </c>
      <c r="N21" s="116">
        <v>0</v>
      </c>
      <c r="O21" s="116">
        <v>0</v>
      </c>
      <c r="P21" s="116">
        <v>0</v>
      </c>
      <c r="Q21" s="73">
        <v>100000</v>
      </c>
      <c r="R21" s="116">
        <v>0</v>
      </c>
      <c r="S21" s="102">
        <f t="shared" si="1"/>
        <v>100000</v>
      </c>
      <c r="T21" s="116">
        <v>0</v>
      </c>
      <c r="U21" s="116">
        <v>0</v>
      </c>
      <c r="V21" s="116">
        <v>0</v>
      </c>
      <c r="W21" s="116">
        <f>U21+V21</f>
        <v>0</v>
      </c>
      <c r="X21" s="116">
        <v>0</v>
      </c>
    </row>
    <row r="22" spans="1:24" s="76" customFormat="1" ht="129" customHeight="1">
      <c r="A22" s="66" t="s">
        <v>111</v>
      </c>
      <c r="B22" s="118" t="s">
        <v>55</v>
      </c>
      <c r="C22" s="119" t="s">
        <v>592</v>
      </c>
      <c r="D22" s="120"/>
      <c r="E22" s="121"/>
      <c r="F22" s="120"/>
      <c r="G22" s="18"/>
      <c r="H22" s="18"/>
      <c r="I22" s="120"/>
      <c r="J22" s="120"/>
      <c r="K22" s="120"/>
      <c r="L22" s="122"/>
      <c r="M22" s="74">
        <f t="shared" si="0"/>
        <v>140000</v>
      </c>
      <c r="N22" s="123">
        <v>0</v>
      </c>
      <c r="O22" s="123">
        <v>0</v>
      </c>
      <c r="P22" s="123">
        <v>0</v>
      </c>
      <c r="Q22" s="124">
        <v>140000</v>
      </c>
      <c r="R22" s="123">
        <v>0</v>
      </c>
      <c r="S22" s="75">
        <f t="shared" si="1"/>
        <v>140000</v>
      </c>
      <c r="T22" s="123">
        <v>0</v>
      </c>
      <c r="U22" s="123">
        <v>0</v>
      </c>
      <c r="V22" s="123">
        <v>0</v>
      </c>
      <c r="W22" s="123">
        <f>U22+V22</f>
        <v>0</v>
      </c>
      <c r="X22" s="123">
        <v>0</v>
      </c>
    </row>
    <row r="23" spans="1:24" s="135" customFormat="1" ht="47.25" customHeight="1">
      <c r="A23" s="128" t="s">
        <v>117</v>
      </c>
      <c r="B23" s="311" t="s">
        <v>89</v>
      </c>
      <c r="C23" s="129" t="s">
        <v>118</v>
      </c>
      <c r="D23" s="130" t="s">
        <v>119</v>
      </c>
      <c r="E23" s="130" t="s">
        <v>120</v>
      </c>
      <c r="F23" s="129" t="s">
        <v>121</v>
      </c>
      <c r="G23" s="131"/>
      <c r="H23" s="131"/>
      <c r="I23" s="132"/>
      <c r="J23" s="129"/>
      <c r="K23" s="129"/>
      <c r="L23" s="133"/>
      <c r="M23" s="74">
        <f t="shared" si="0"/>
        <v>31800</v>
      </c>
      <c r="N23" s="134">
        <v>0</v>
      </c>
      <c r="O23" s="134">
        <v>0</v>
      </c>
      <c r="P23" s="134">
        <v>7200</v>
      </c>
      <c r="Q23" s="134">
        <v>24600</v>
      </c>
      <c r="R23" s="134">
        <v>0</v>
      </c>
      <c r="S23" s="134">
        <f t="shared" si="1"/>
        <v>31800</v>
      </c>
      <c r="T23" s="134">
        <v>0</v>
      </c>
      <c r="U23" s="134">
        <v>0</v>
      </c>
      <c r="V23" s="134">
        <v>0</v>
      </c>
      <c r="W23" s="134">
        <f>U23+V23</f>
        <v>0</v>
      </c>
      <c r="X23" s="134">
        <v>0</v>
      </c>
    </row>
    <row r="24" spans="1:24" s="141" customFormat="1" ht="63">
      <c r="A24" s="51" t="s">
        <v>127</v>
      </c>
      <c r="B24" s="137" t="s">
        <v>128</v>
      </c>
      <c r="C24" s="52" t="s">
        <v>129</v>
      </c>
      <c r="D24" s="138"/>
      <c r="E24" s="139"/>
      <c r="F24" s="138"/>
      <c r="G24" s="140"/>
      <c r="H24" s="140"/>
      <c r="I24" s="138"/>
      <c r="J24" s="138"/>
      <c r="K24" s="138"/>
      <c r="L24" s="92"/>
      <c r="M24" s="155">
        <f t="shared" si="0"/>
        <v>200000</v>
      </c>
      <c r="N24" s="55">
        <v>0</v>
      </c>
      <c r="O24" s="55">
        <v>0</v>
      </c>
      <c r="P24" s="55">
        <v>0</v>
      </c>
      <c r="Q24" s="55">
        <v>200000</v>
      </c>
      <c r="R24" s="55">
        <v>0</v>
      </c>
      <c r="S24" s="353">
        <f t="shared" si="1"/>
        <v>200000</v>
      </c>
      <c r="T24" s="55"/>
      <c r="U24" s="92"/>
      <c r="V24" s="92"/>
      <c r="W24" s="92"/>
      <c r="X24" s="92"/>
    </row>
    <row r="25" spans="1:24" s="159" customFormat="1" ht="46.5" customHeight="1">
      <c r="A25" s="150" t="s">
        <v>131</v>
      </c>
      <c r="B25" s="312" t="s">
        <v>132</v>
      </c>
      <c r="C25" s="151" t="s">
        <v>133</v>
      </c>
      <c r="D25" s="151"/>
      <c r="E25" s="152"/>
      <c r="F25" s="151"/>
      <c r="G25" s="153"/>
      <c r="H25" s="153"/>
      <c r="I25" s="154" t="s">
        <v>57</v>
      </c>
      <c r="J25" s="151"/>
      <c r="K25" s="151"/>
      <c r="L25" s="155"/>
      <c r="M25" s="155">
        <f>Q25+M33+M34+M35+M36+M37+M38+M39</f>
        <v>2360000</v>
      </c>
      <c r="N25" s="155"/>
      <c r="O25" s="156"/>
      <c r="P25" s="156"/>
      <c r="Q25" s="156">
        <f>SUM(Q27:Q31)</f>
        <v>1760000</v>
      </c>
      <c r="R25" s="157" t="s">
        <v>34</v>
      </c>
      <c r="S25" s="156"/>
      <c r="T25" s="156"/>
      <c r="U25" s="156"/>
      <c r="V25" s="158"/>
      <c r="W25" s="158"/>
      <c r="X25" s="158"/>
    </row>
    <row r="26" spans="1:24" s="76" customFormat="1">
      <c r="A26" s="93" t="s">
        <v>34</v>
      </c>
      <c r="B26" s="355" t="s">
        <v>34</v>
      </c>
      <c r="C26" s="268" t="s">
        <v>548</v>
      </c>
      <c r="D26" s="96"/>
      <c r="E26" s="97"/>
      <c r="F26" s="96"/>
      <c r="G26" s="98"/>
      <c r="H26" s="98"/>
      <c r="I26" s="90"/>
      <c r="J26" s="96"/>
      <c r="K26" s="96"/>
      <c r="L26" s="99"/>
      <c r="M26" s="99">
        <f>Q26</f>
        <v>1760000</v>
      </c>
      <c r="N26" s="99"/>
      <c r="O26" s="102"/>
      <c r="P26" s="102"/>
      <c r="Q26" s="102">
        <f>SUM(Q27:Q31)</f>
        <v>1760000</v>
      </c>
      <c r="R26" s="102"/>
      <c r="S26" s="102"/>
      <c r="T26" s="102"/>
      <c r="U26" s="102"/>
      <c r="V26" s="73"/>
      <c r="W26" s="73"/>
      <c r="X26" s="73"/>
    </row>
    <row r="27" spans="1:24" s="76" customFormat="1">
      <c r="A27" s="93"/>
      <c r="B27" s="78" t="s">
        <v>34</v>
      </c>
      <c r="C27" s="354" t="s">
        <v>134</v>
      </c>
      <c r="D27" s="96"/>
      <c r="E27" s="96"/>
      <c r="F27" s="96"/>
      <c r="G27" s="98"/>
      <c r="H27" s="98"/>
      <c r="I27" s="90"/>
      <c r="J27" s="96"/>
      <c r="K27" s="96"/>
      <c r="L27" s="99"/>
      <c r="M27" s="73"/>
      <c r="N27" s="73"/>
      <c r="O27" s="73"/>
      <c r="P27" s="73" t="s">
        <v>34</v>
      </c>
      <c r="Q27" s="73">
        <v>560000</v>
      </c>
      <c r="R27" s="73"/>
      <c r="S27" s="73"/>
      <c r="T27" s="73"/>
      <c r="U27" s="73"/>
      <c r="V27" s="73"/>
      <c r="W27" s="73"/>
      <c r="X27" s="73"/>
    </row>
    <row r="28" spans="1:24" s="76" customFormat="1">
      <c r="A28" s="93"/>
      <c r="B28" s="78" t="s">
        <v>34</v>
      </c>
      <c r="C28" s="354" t="s">
        <v>135</v>
      </c>
      <c r="D28" s="96"/>
      <c r="E28" s="96"/>
      <c r="F28" s="96"/>
      <c r="G28" s="98"/>
      <c r="H28" s="98"/>
      <c r="I28" s="90"/>
      <c r="J28" s="96"/>
      <c r="K28" s="96"/>
      <c r="L28" s="99"/>
      <c r="M28" s="73"/>
      <c r="N28" s="73"/>
      <c r="O28" s="73"/>
      <c r="P28" s="73"/>
      <c r="Q28" s="73">
        <v>960000</v>
      </c>
      <c r="R28" s="73"/>
      <c r="S28" s="73"/>
      <c r="T28" s="73"/>
      <c r="U28" s="73"/>
      <c r="V28" s="73"/>
      <c r="W28" s="73"/>
      <c r="X28" s="73"/>
    </row>
    <row r="29" spans="1:24" s="76" customFormat="1">
      <c r="A29" s="93"/>
      <c r="B29" s="78" t="s">
        <v>34</v>
      </c>
      <c r="C29" s="354" t="s">
        <v>136</v>
      </c>
      <c r="D29" s="96"/>
      <c r="E29" s="96"/>
      <c r="F29" s="96"/>
      <c r="G29" s="98"/>
      <c r="H29" s="98"/>
      <c r="I29" s="90"/>
      <c r="J29" s="96"/>
      <c r="K29" s="96"/>
      <c r="L29" s="99"/>
      <c r="M29" s="73"/>
      <c r="N29" s="73"/>
      <c r="O29" s="73"/>
      <c r="P29" s="73"/>
      <c r="Q29" s="73">
        <v>70000</v>
      </c>
      <c r="R29" s="73"/>
      <c r="S29" s="73"/>
      <c r="T29" s="73"/>
      <c r="U29" s="73"/>
      <c r="V29" s="73"/>
      <c r="W29" s="73"/>
      <c r="X29" s="73"/>
    </row>
    <row r="30" spans="1:24" s="76" customFormat="1">
      <c r="A30" s="93"/>
      <c r="B30" s="78" t="s">
        <v>34</v>
      </c>
      <c r="C30" s="354" t="s">
        <v>137</v>
      </c>
      <c r="D30" s="96"/>
      <c r="E30" s="96"/>
      <c r="F30" s="96"/>
      <c r="G30" s="98"/>
      <c r="H30" s="98"/>
      <c r="I30" s="90"/>
      <c r="J30" s="96"/>
      <c r="K30" s="96"/>
      <c r="L30" s="99"/>
      <c r="M30" s="73"/>
      <c r="N30" s="73"/>
      <c r="O30" s="73"/>
      <c r="P30" s="73"/>
      <c r="Q30" s="73">
        <v>100000</v>
      </c>
      <c r="R30" s="73"/>
      <c r="S30" s="73"/>
      <c r="T30" s="73"/>
      <c r="U30" s="73"/>
      <c r="V30" s="73"/>
      <c r="W30" s="73"/>
      <c r="X30" s="73"/>
    </row>
    <row r="31" spans="1:24" s="76" customFormat="1">
      <c r="A31" s="93"/>
      <c r="B31" s="78" t="s">
        <v>34</v>
      </c>
      <c r="C31" s="354" t="s">
        <v>547</v>
      </c>
      <c r="D31" s="96"/>
      <c r="E31" s="96"/>
      <c r="F31" s="96"/>
      <c r="G31" s="98"/>
      <c r="H31" s="98"/>
      <c r="I31" s="90"/>
      <c r="J31" s="96"/>
      <c r="K31" s="96"/>
      <c r="L31" s="99"/>
      <c r="M31" s="73"/>
      <c r="N31" s="73"/>
      <c r="O31" s="73"/>
      <c r="P31" s="73"/>
      <c r="Q31" s="73">
        <f>30000+40000</f>
        <v>70000</v>
      </c>
      <c r="R31" s="73"/>
      <c r="S31" s="73"/>
      <c r="T31" s="73"/>
      <c r="U31" s="73"/>
      <c r="V31" s="73"/>
      <c r="W31" s="73"/>
      <c r="X31" s="73"/>
    </row>
    <row r="32" spans="1:24" s="76" customFormat="1" ht="42">
      <c r="A32" s="95"/>
      <c r="B32" s="68"/>
      <c r="C32" s="268" t="s">
        <v>549</v>
      </c>
      <c r="D32" s="96"/>
      <c r="E32" s="97"/>
      <c r="F32" s="96"/>
      <c r="G32" s="98"/>
      <c r="H32" s="98"/>
      <c r="I32" s="90"/>
      <c r="J32" s="96"/>
      <c r="K32" s="96"/>
      <c r="L32" s="99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s="76" customFormat="1" ht="42.75">
      <c r="A33" s="114" t="s">
        <v>139</v>
      </c>
      <c r="B33" s="313" t="s">
        <v>140</v>
      </c>
      <c r="C33" s="96" t="s">
        <v>560</v>
      </c>
      <c r="D33" s="96"/>
      <c r="E33" s="97"/>
      <c r="F33" s="96"/>
      <c r="G33" s="98"/>
      <c r="H33" s="98"/>
      <c r="I33" s="90"/>
      <c r="J33" s="96"/>
      <c r="K33" s="96"/>
      <c r="L33" s="99"/>
      <c r="M33" s="99">
        <f>Q33</f>
        <v>60000</v>
      </c>
      <c r="N33" s="99"/>
      <c r="O33" s="102"/>
      <c r="P33" s="102"/>
      <c r="Q33" s="102">
        <v>60000</v>
      </c>
      <c r="R33" s="102"/>
      <c r="S33" s="102"/>
      <c r="T33" s="102"/>
      <c r="U33" s="102"/>
      <c r="V33" s="73"/>
      <c r="W33" s="73"/>
      <c r="X33" s="73"/>
    </row>
    <row r="34" spans="1:24" s="76" customFormat="1" ht="42.75">
      <c r="A34" s="114" t="s">
        <v>142</v>
      </c>
      <c r="B34" s="313" t="s">
        <v>140</v>
      </c>
      <c r="C34" s="96" t="s">
        <v>561</v>
      </c>
      <c r="D34" s="96"/>
      <c r="E34" s="97"/>
      <c r="F34" s="96"/>
      <c r="G34" s="98"/>
      <c r="H34" s="98"/>
      <c r="I34" s="90"/>
      <c r="J34" s="96"/>
      <c r="K34" s="96"/>
      <c r="L34" s="99"/>
      <c r="M34" s="99">
        <f>Q34</f>
        <v>90000</v>
      </c>
      <c r="N34" s="99"/>
      <c r="O34" s="102"/>
      <c r="P34" s="102"/>
      <c r="Q34" s="102">
        <v>90000</v>
      </c>
      <c r="R34" s="102"/>
      <c r="S34" s="102"/>
      <c r="T34" s="102"/>
      <c r="U34" s="102"/>
      <c r="V34" s="73"/>
      <c r="W34" s="73"/>
      <c r="X34" s="73"/>
    </row>
    <row r="35" spans="1:24" s="76" customFormat="1" ht="42.75">
      <c r="A35" s="114" t="s">
        <v>144</v>
      </c>
      <c r="B35" s="313" t="s">
        <v>140</v>
      </c>
      <c r="C35" s="96" t="s">
        <v>562</v>
      </c>
      <c r="D35" s="96"/>
      <c r="E35" s="97"/>
      <c r="F35" s="96"/>
      <c r="G35" s="98"/>
      <c r="H35" s="98"/>
      <c r="I35" s="90"/>
      <c r="J35" s="96"/>
      <c r="K35" s="96"/>
      <c r="L35" s="99"/>
      <c r="M35" s="99">
        <f>Q35</f>
        <v>70000</v>
      </c>
      <c r="N35" s="99"/>
      <c r="O35" s="102"/>
      <c r="P35" s="102"/>
      <c r="Q35" s="102">
        <v>70000</v>
      </c>
      <c r="R35" s="102"/>
      <c r="S35" s="102"/>
      <c r="T35" s="102"/>
      <c r="U35" s="102"/>
      <c r="V35" s="73"/>
      <c r="W35" s="73"/>
      <c r="X35" s="73"/>
    </row>
    <row r="36" spans="1:24" s="76" customFormat="1" ht="86.25" customHeight="1">
      <c r="A36" s="66" t="s">
        <v>146</v>
      </c>
      <c r="B36" s="310" t="s">
        <v>147</v>
      </c>
      <c r="C36" s="162" t="s">
        <v>148</v>
      </c>
      <c r="D36" s="103" t="s">
        <v>149</v>
      </c>
      <c r="E36" s="103" t="s">
        <v>150</v>
      </c>
      <c r="F36" s="68" t="s">
        <v>151</v>
      </c>
      <c r="G36" s="89"/>
      <c r="H36" s="89"/>
      <c r="I36" s="90"/>
      <c r="J36" s="68"/>
      <c r="K36" s="68"/>
      <c r="L36" s="74"/>
      <c r="M36" s="74">
        <f>N36+O36+S36+T36+W36+X36</f>
        <v>120000</v>
      </c>
      <c r="N36" s="73">
        <v>0</v>
      </c>
      <c r="O36" s="73">
        <v>0</v>
      </c>
      <c r="P36" s="73">
        <v>0</v>
      </c>
      <c r="Q36" s="73">
        <v>120000</v>
      </c>
      <c r="R36" s="73">
        <v>0</v>
      </c>
      <c r="S36" s="73">
        <f>SUM(P36:R36)</f>
        <v>120000</v>
      </c>
      <c r="T36" s="73">
        <v>0</v>
      </c>
      <c r="U36" s="73">
        <v>0</v>
      </c>
      <c r="V36" s="73">
        <v>0</v>
      </c>
      <c r="W36" s="73">
        <f>U36+V36</f>
        <v>0</v>
      </c>
      <c r="X36" s="73">
        <v>0</v>
      </c>
    </row>
    <row r="37" spans="1:24" s="76" customFormat="1" ht="42.75">
      <c r="A37" s="66" t="s">
        <v>157</v>
      </c>
      <c r="B37" s="310" t="s">
        <v>158</v>
      </c>
      <c r="C37" s="68" t="s">
        <v>159</v>
      </c>
      <c r="D37" s="68"/>
      <c r="E37" s="88"/>
      <c r="F37" s="68"/>
      <c r="G37" s="89"/>
      <c r="H37" s="89"/>
      <c r="I37" s="90"/>
      <c r="J37" s="68"/>
      <c r="K37" s="68"/>
      <c r="L37" s="74"/>
      <c r="M37" s="74">
        <f>N37+O37+S37+T37+W37+X37</f>
        <v>130000</v>
      </c>
      <c r="N37" s="74"/>
      <c r="O37" s="75"/>
      <c r="P37" s="75">
        <v>16800</v>
      </c>
      <c r="Q37" s="75">
        <v>112600</v>
      </c>
      <c r="R37" s="75">
        <v>600</v>
      </c>
      <c r="S37" s="75">
        <f>SUM(P37:R37)</f>
        <v>130000</v>
      </c>
      <c r="T37" s="75"/>
      <c r="U37" s="75"/>
      <c r="V37" s="73"/>
      <c r="W37" s="73"/>
      <c r="X37" s="73"/>
    </row>
    <row r="38" spans="1:24" s="76" customFormat="1" ht="42.75">
      <c r="A38" s="114" t="s">
        <v>167</v>
      </c>
      <c r="B38" s="313" t="s">
        <v>140</v>
      </c>
      <c r="C38" s="96" t="s">
        <v>168</v>
      </c>
      <c r="D38" s="96"/>
      <c r="E38" s="97"/>
      <c r="F38" s="96"/>
      <c r="G38" s="98"/>
      <c r="H38" s="98"/>
      <c r="I38" s="90"/>
      <c r="J38" s="96"/>
      <c r="K38" s="96"/>
      <c r="L38" s="99"/>
      <c r="M38" s="99">
        <f>N38+O38+S38+T38+W38+X38</f>
        <v>50000</v>
      </c>
      <c r="N38" s="99"/>
      <c r="O38" s="102"/>
      <c r="P38" s="102" t="s">
        <v>34</v>
      </c>
      <c r="Q38" s="173">
        <v>50000</v>
      </c>
      <c r="R38" s="102" t="s">
        <v>34</v>
      </c>
      <c r="S38" s="102">
        <f>SUM(P38:R38)</f>
        <v>50000</v>
      </c>
      <c r="T38" s="102"/>
      <c r="U38" s="102"/>
      <c r="V38" s="73"/>
      <c r="W38" s="73"/>
      <c r="X38" s="73"/>
    </row>
    <row r="39" spans="1:24" s="76" customFormat="1" ht="42.75" customHeight="1">
      <c r="A39" s="66" t="s">
        <v>169</v>
      </c>
      <c r="B39" s="103" t="s">
        <v>81</v>
      </c>
      <c r="C39" s="68" t="s">
        <v>170</v>
      </c>
      <c r="D39" s="103" t="s">
        <v>171</v>
      </c>
      <c r="E39" s="104" t="s">
        <v>172</v>
      </c>
      <c r="F39" s="68" t="s">
        <v>173</v>
      </c>
      <c r="G39" s="89"/>
      <c r="H39" s="89"/>
      <c r="I39" s="90"/>
      <c r="J39" s="68"/>
      <c r="K39" s="68"/>
      <c r="L39" s="74"/>
      <c r="M39" s="74">
        <f>N39+O39+S39+T39+W39+X39</f>
        <v>80000</v>
      </c>
      <c r="N39" s="74"/>
      <c r="O39" s="75"/>
      <c r="P39" s="75"/>
      <c r="Q39" s="75">
        <v>80000</v>
      </c>
      <c r="R39" s="75"/>
      <c r="S39" s="75">
        <f>SUM(P39:R39)</f>
        <v>80000</v>
      </c>
      <c r="T39" s="75"/>
      <c r="U39" s="75"/>
      <c r="V39" s="73"/>
      <c r="W39" s="73"/>
      <c r="X39" s="73"/>
    </row>
    <row r="40" spans="1:24" s="35" customFormat="1" ht="26.25">
      <c r="A40" s="29" t="s">
        <v>174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51">
        <f>M42+M50+M51</f>
        <v>4306100</v>
      </c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174"/>
    </row>
    <row r="41" spans="1:24" s="179" customFormat="1" ht="23.25">
      <c r="A41" s="356" t="s">
        <v>550</v>
      </c>
      <c r="B41" s="17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57">
        <f>M42+M43</f>
        <v>1903100</v>
      </c>
      <c r="N41" s="357" t="s">
        <v>546</v>
      </c>
      <c r="O41" s="358" t="s">
        <v>34</v>
      </c>
      <c r="P41" s="358"/>
      <c r="Q41" s="358"/>
      <c r="R41" s="358"/>
      <c r="S41" s="358"/>
      <c r="T41" s="358"/>
      <c r="U41" s="358"/>
      <c r="V41" s="358"/>
      <c r="W41" s="358"/>
      <c r="X41" s="359"/>
    </row>
    <row r="42" spans="1:24" s="58" customFormat="1" ht="62.25" customHeight="1">
      <c r="A42" s="181" t="s">
        <v>178</v>
      </c>
      <c r="B42" s="52" t="s">
        <v>41</v>
      </c>
      <c r="C42" s="52" t="s">
        <v>179</v>
      </c>
      <c r="D42" s="52"/>
      <c r="E42" s="53"/>
      <c r="F42" s="52"/>
      <c r="G42" s="54"/>
      <c r="H42" s="54"/>
      <c r="I42" s="52"/>
      <c r="J42" s="52"/>
      <c r="K42" s="52"/>
      <c r="L42" s="55"/>
      <c r="M42" s="55">
        <f>N42+O42+S42+T42+W42+X42</f>
        <v>1736100</v>
      </c>
      <c r="N42" s="56">
        <v>0</v>
      </c>
      <c r="O42" s="55">
        <v>959500</v>
      </c>
      <c r="P42" s="55">
        <v>597600</v>
      </c>
      <c r="Q42" s="55">
        <v>158000</v>
      </c>
      <c r="R42" s="55">
        <v>40000</v>
      </c>
      <c r="S42" s="55">
        <f>P42+Q42+R42-M43</f>
        <v>628600</v>
      </c>
      <c r="T42" s="55">
        <v>48000</v>
      </c>
      <c r="U42" s="55">
        <v>100000</v>
      </c>
      <c r="V42" s="55">
        <v>0</v>
      </c>
      <c r="W42" s="55">
        <f>U42+V42</f>
        <v>100000</v>
      </c>
      <c r="X42" s="55">
        <v>0</v>
      </c>
    </row>
    <row r="43" spans="1:24" s="76" customFormat="1" ht="41.25" customHeight="1">
      <c r="A43" s="66" t="s">
        <v>180</v>
      </c>
      <c r="B43" s="308" t="s">
        <v>181</v>
      </c>
      <c r="C43" s="390" t="s">
        <v>563</v>
      </c>
      <c r="D43" s="68"/>
      <c r="E43" s="88"/>
      <c r="F43" s="68"/>
      <c r="G43" s="89"/>
      <c r="H43" s="89"/>
      <c r="I43" s="90"/>
      <c r="J43" s="68"/>
      <c r="K43" s="68"/>
      <c r="L43" s="74"/>
      <c r="M43" s="74">
        <f>SUM(M44:M48)</f>
        <v>167000</v>
      </c>
      <c r="N43" s="74"/>
      <c r="O43" s="75"/>
      <c r="P43" s="75"/>
      <c r="Q43" s="75"/>
      <c r="R43" s="75"/>
      <c r="S43" s="75" t="s">
        <v>34</v>
      </c>
      <c r="T43" s="75"/>
      <c r="U43" s="75"/>
      <c r="V43" s="73"/>
      <c r="W43" s="73"/>
      <c r="X43" s="73"/>
    </row>
    <row r="44" spans="1:24" s="76" customFormat="1" ht="41.25" customHeight="1">
      <c r="A44" s="66" t="s">
        <v>183</v>
      </c>
      <c r="B44" s="308" t="s">
        <v>181</v>
      </c>
      <c r="C44" s="68" t="s">
        <v>184</v>
      </c>
      <c r="D44" s="68"/>
      <c r="E44" s="88"/>
      <c r="F44" s="68"/>
      <c r="G44" s="89"/>
      <c r="H44" s="89"/>
      <c r="I44" s="90" t="s">
        <v>50</v>
      </c>
      <c r="J44" s="68"/>
      <c r="K44" s="68"/>
      <c r="L44" s="74"/>
      <c r="M44" s="74">
        <f>N44+O44+S44+T44+W44+X44</f>
        <v>10000</v>
      </c>
      <c r="N44" s="74"/>
      <c r="O44" s="75"/>
      <c r="P44" s="75">
        <v>0</v>
      </c>
      <c r="Q44" s="75">
        <v>9750</v>
      </c>
      <c r="R44" s="75">
        <v>250</v>
      </c>
      <c r="S44" s="75">
        <f>SUM(P44:R44)</f>
        <v>10000</v>
      </c>
      <c r="T44" s="75"/>
      <c r="U44" s="75"/>
      <c r="V44" s="73"/>
      <c r="W44" s="73"/>
      <c r="X44" s="73"/>
    </row>
    <row r="45" spans="1:24" s="76" customFormat="1" ht="42">
      <c r="A45" s="66" t="s">
        <v>183</v>
      </c>
      <c r="B45" s="67" t="s">
        <v>181</v>
      </c>
      <c r="C45" s="68" t="s">
        <v>187</v>
      </c>
      <c r="D45" s="68"/>
      <c r="E45" s="88"/>
      <c r="F45" s="68"/>
      <c r="G45" s="89"/>
      <c r="H45" s="89"/>
      <c r="I45" s="90"/>
      <c r="J45" s="68"/>
      <c r="K45" s="68"/>
      <c r="L45" s="74"/>
      <c r="M45" s="74">
        <f>N45+O45+S45+T45+W45+X45</f>
        <v>50000</v>
      </c>
      <c r="N45" s="74"/>
      <c r="O45" s="75"/>
      <c r="P45" s="75">
        <v>5000</v>
      </c>
      <c r="Q45" s="75">
        <v>39600</v>
      </c>
      <c r="R45" s="75">
        <v>5400</v>
      </c>
      <c r="S45" s="75">
        <f>SUM(P45:R45)</f>
        <v>50000</v>
      </c>
      <c r="T45" s="75"/>
      <c r="U45" s="75"/>
      <c r="V45" s="73"/>
      <c r="W45" s="73"/>
      <c r="X45" s="73"/>
    </row>
    <row r="46" spans="1:24" s="76" customFormat="1" ht="42">
      <c r="A46" s="66" t="s">
        <v>194</v>
      </c>
      <c r="B46" s="67" t="s">
        <v>181</v>
      </c>
      <c r="C46" s="68" t="s">
        <v>195</v>
      </c>
      <c r="D46" s="68"/>
      <c r="E46" s="88"/>
      <c r="F46" s="68"/>
      <c r="G46" s="89"/>
      <c r="H46" s="89"/>
      <c r="I46" s="90"/>
      <c r="J46" s="68"/>
      <c r="K46" s="68"/>
      <c r="L46" s="74"/>
      <c r="M46" s="74">
        <f>N46+O46+S46+T46+W46+X46</f>
        <v>30000</v>
      </c>
      <c r="N46" s="74"/>
      <c r="O46" s="75"/>
      <c r="P46" s="75">
        <v>0</v>
      </c>
      <c r="Q46" s="75">
        <v>30000</v>
      </c>
      <c r="R46" s="75">
        <v>0</v>
      </c>
      <c r="S46" s="75">
        <f>SUM(P46:R46)</f>
        <v>30000</v>
      </c>
      <c r="T46" s="75"/>
      <c r="U46" s="75"/>
      <c r="V46" s="73"/>
      <c r="W46" s="73"/>
      <c r="X46" s="73"/>
    </row>
    <row r="47" spans="1:24" s="76" customFormat="1" ht="42">
      <c r="A47" s="66" t="s">
        <v>200</v>
      </c>
      <c r="B47" s="67" t="s">
        <v>181</v>
      </c>
      <c r="C47" s="68" t="s">
        <v>201</v>
      </c>
      <c r="D47" s="68"/>
      <c r="E47" s="88"/>
      <c r="F47" s="68"/>
      <c r="G47" s="89"/>
      <c r="H47" s="89"/>
      <c r="I47" s="90"/>
      <c r="J47" s="68"/>
      <c r="K47" s="68"/>
      <c r="L47" s="74"/>
      <c r="M47" s="74">
        <f>N47+O47+S47+T47+W47+X47</f>
        <v>50000</v>
      </c>
      <c r="N47" s="74"/>
      <c r="O47" s="75"/>
      <c r="P47" s="75">
        <v>3600</v>
      </c>
      <c r="Q47" s="75">
        <v>46400</v>
      </c>
      <c r="R47" s="75">
        <v>0</v>
      </c>
      <c r="S47" s="75">
        <f>SUM(P47:R47)</f>
        <v>50000</v>
      </c>
      <c r="T47" s="75"/>
      <c r="U47" s="75"/>
      <c r="V47" s="73"/>
      <c r="W47" s="73"/>
      <c r="X47" s="73"/>
    </row>
    <row r="48" spans="1:24" s="76" customFormat="1" ht="42">
      <c r="A48" s="66" t="s">
        <v>208</v>
      </c>
      <c r="B48" s="67" t="s">
        <v>181</v>
      </c>
      <c r="C48" s="68" t="s">
        <v>209</v>
      </c>
      <c r="D48" s="68"/>
      <c r="E48" s="88"/>
      <c r="F48" s="68"/>
      <c r="G48" s="89"/>
      <c r="H48" s="89"/>
      <c r="I48" s="90"/>
      <c r="J48" s="68"/>
      <c r="K48" s="68"/>
      <c r="L48" s="74"/>
      <c r="M48" s="74">
        <f>N48+O48+S48+T48+W48+X48</f>
        <v>27000</v>
      </c>
      <c r="N48" s="74"/>
      <c r="O48" s="75"/>
      <c r="P48" s="75">
        <v>0</v>
      </c>
      <c r="Q48" s="75">
        <v>25750</v>
      </c>
      <c r="R48" s="75">
        <v>1250</v>
      </c>
      <c r="S48" s="75">
        <f>SUM(P48:R48)</f>
        <v>27000</v>
      </c>
      <c r="T48" s="75"/>
      <c r="U48" s="75"/>
      <c r="V48" s="73"/>
      <c r="W48" s="73"/>
      <c r="X48" s="73"/>
    </row>
    <row r="49" spans="1:24" s="179" customFormat="1" ht="23.25">
      <c r="A49" s="356" t="s">
        <v>551</v>
      </c>
      <c r="B49" s="17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357">
        <f>470000+2100000</f>
        <v>2570000</v>
      </c>
      <c r="N49" s="391" t="s">
        <v>546</v>
      </c>
      <c r="O49" s="358"/>
      <c r="P49" s="358"/>
      <c r="Q49" s="358"/>
      <c r="R49" s="358"/>
      <c r="S49" s="358"/>
      <c r="T49" s="358"/>
      <c r="U49" s="358"/>
      <c r="V49" s="358"/>
      <c r="W49" s="358"/>
      <c r="X49" s="359"/>
    </row>
    <row r="50" spans="1:24" s="58" customFormat="1" ht="54">
      <c r="A50" s="51" t="s">
        <v>218</v>
      </c>
      <c r="B50" s="316" t="s">
        <v>41</v>
      </c>
      <c r="C50" s="189" t="s">
        <v>219</v>
      </c>
      <c r="D50" s="52"/>
      <c r="E50" s="53"/>
      <c r="F50" s="52"/>
      <c r="G50" s="54"/>
      <c r="H50" s="54"/>
      <c r="I50" s="52"/>
      <c r="J50" s="52"/>
      <c r="K50" s="52"/>
      <c r="L50" s="55"/>
      <c r="M50" s="256">
        <f>N50+O50+S50+T50+W50+X50</f>
        <v>470000</v>
      </c>
      <c r="N50" s="55">
        <v>352100</v>
      </c>
      <c r="O50" s="55">
        <v>0</v>
      </c>
      <c r="P50" s="55">
        <v>8000</v>
      </c>
      <c r="Q50" s="55">
        <v>15000</v>
      </c>
      <c r="R50" s="55">
        <v>44900</v>
      </c>
      <c r="S50" s="55">
        <f>SUM(P50:R50)</f>
        <v>67900</v>
      </c>
      <c r="T50" s="55">
        <v>0</v>
      </c>
      <c r="U50" s="55">
        <v>0</v>
      </c>
      <c r="V50" s="55">
        <v>0</v>
      </c>
      <c r="W50" s="55">
        <f>U50+V50</f>
        <v>0</v>
      </c>
      <c r="X50" s="55">
        <v>50000</v>
      </c>
    </row>
    <row r="51" spans="1:24" s="58" customFormat="1" ht="40.5" customHeight="1">
      <c r="A51" s="51" t="s">
        <v>228</v>
      </c>
      <c r="B51" s="197" t="s">
        <v>55</v>
      </c>
      <c r="C51" s="199" t="s">
        <v>229</v>
      </c>
      <c r="D51" s="199"/>
      <c r="E51" s="200"/>
      <c r="F51" s="199"/>
      <c r="G51" s="201"/>
      <c r="H51" s="201"/>
      <c r="I51" s="54" t="s">
        <v>57</v>
      </c>
      <c r="J51" s="199"/>
      <c r="K51" s="199"/>
      <c r="L51" s="202"/>
      <c r="M51" s="256">
        <f>N51+O51+S51+T51+W51+X51</f>
        <v>2100000</v>
      </c>
      <c r="N51" s="202">
        <v>0</v>
      </c>
      <c r="O51" s="202">
        <v>236000</v>
      </c>
      <c r="P51" s="366">
        <v>500000</v>
      </c>
      <c r="Q51" s="366">
        <v>720000</v>
      </c>
      <c r="R51" s="366">
        <v>475000</v>
      </c>
      <c r="S51" s="366">
        <f>P51+Q51+R51</f>
        <v>1695000</v>
      </c>
      <c r="T51" s="366">
        <v>10000</v>
      </c>
      <c r="U51" s="366">
        <v>50000</v>
      </c>
      <c r="V51" s="55">
        <v>0</v>
      </c>
      <c r="W51" s="55">
        <f>U51+V51</f>
        <v>50000</v>
      </c>
      <c r="X51" s="55">
        <v>109000</v>
      </c>
    </row>
    <row r="52" spans="1:24" s="179" customFormat="1" ht="23.25">
      <c r="A52" s="356" t="s">
        <v>239</v>
      </c>
      <c r="B52" s="176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357">
        <v>6689000</v>
      </c>
      <c r="N52" s="357" t="s">
        <v>546</v>
      </c>
      <c r="O52" s="358"/>
      <c r="P52" s="358"/>
      <c r="Q52" s="358"/>
      <c r="R52" s="358"/>
      <c r="S52" s="358"/>
      <c r="T52" s="358"/>
      <c r="U52" s="358"/>
      <c r="V52" s="358"/>
      <c r="W52" s="358"/>
      <c r="X52" s="359"/>
    </row>
    <row r="53" spans="1:24" s="58" customFormat="1" ht="54">
      <c r="A53" s="51" t="s">
        <v>241</v>
      </c>
      <c r="B53" s="316" t="s">
        <v>41</v>
      </c>
      <c r="C53" s="52" t="s">
        <v>242</v>
      </c>
      <c r="D53" s="52"/>
      <c r="E53" s="53"/>
      <c r="F53" s="52"/>
      <c r="G53" s="54"/>
      <c r="H53" s="54"/>
      <c r="I53" s="52"/>
      <c r="J53" s="52"/>
      <c r="K53" s="52"/>
      <c r="L53" s="55"/>
      <c r="M53" s="55">
        <f>SUBTOTAL(9,Q55:Q58)</f>
        <v>2766750</v>
      </c>
      <c r="N53" s="55" t="s">
        <v>34</v>
      </c>
      <c r="O53" s="55" t="s">
        <v>34</v>
      </c>
      <c r="P53" s="55"/>
      <c r="Q53" s="55"/>
      <c r="R53" s="55"/>
      <c r="S53" s="55"/>
      <c r="T53" s="55"/>
      <c r="U53" s="55"/>
      <c r="V53" s="55"/>
      <c r="W53" s="55"/>
      <c r="X53" s="55"/>
    </row>
    <row r="54" spans="1:24" s="58" customFormat="1" ht="23.25">
      <c r="A54" s="392"/>
      <c r="B54" s="393"/>
      <c r="C54" s="394" t="s">
        <v>558</v>
      </c>
      <c r="D54" s="394"/>
      <c r="E54" s="395"/>
      <c r="F54" s="394"/>
      <c r="G54" s="396"/>
      <c r="H54" s="396"/>
      <c r="I54" s="394"/>
      <c r="J54" s="394"/>
      <c r="K54" s="394"/>
      <c r="L54" s="397"/>
      <c r="M54" s="398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</row>
    <row r="55" spans="1:24" s="141" customFormat="1">
      <c r="A55" s="399"/>
      <c r="B55" s="400" t="s">
        <v>34</v>
      </c>
      <c r="C55" s="401" t="s">
        <v>220</v>
      </c>
      <c r="D55" s="402"/>
      <c r="E55" s="403"/>
      <c r="F55" s="402"/>
      <c r="G55" s="404"/>
      <c r="H55" s="404"/>
      <c r="I55" s="402"/>
      <c r="J55" s="402"/>
      <c r="K55" s="402"/>
      <c r="L55" s="405"/>
      <c r="M55" s="405"/>
      <c r="N55" s="405"/>
      <c r="O55" s="405"/>
      <c r="P55" s="405"/>
      <c r="Q55" s="405">
        <v>1149600</v>
      </c>
      <c r="R55" s="405"/>
      <c r="S55" s="405"/>
      <c r="T55" s="405"/>
      <c r="U55" s="405"/>
      <c r="V55" s="405"/>
      <c r="W55" s="405"/>
      <c r="X55" s="405"/>
    </row>
    <row r="56" spans="1:24" s="141" customFormat="1">
      <c r="A56" s="399"/>
      <c r="B56" s="400"/>
      <c r="C56" s="401" t="s">
        <v>230</v>
      </c>
      <c r="D56" s="402"/>
      <c r="E56" s="403"/>
      <c r="F56" s="402"/>
      <c r="G56" s="404"/>
      <c r="H56" s="404"/>
      <c r="I56" s="402"/>
      <c r="J56" s="402"/>
      <c r="K56" s="402"/>
      <c r="L56" s="405"/>
      <c r="M56" s="405"/>
      <c r="N56" s="405"/>
      <c r="O56" s="405"/>
      <c r="P56" s="405"/>
      <c r="Q56" s="405">
        <v>85200</v>
      </c>
      <c r="R56" s="405"/>
      <c r="S56" s="405"/>
      <c r="T56" s="405"/>
      <c r="U56" s="405"/>
      <c r="V56" s="405"/>
      <c r="W56" s="405"/>
      <c r="X56" s="405"/>
    </row>
    <row r="57" spans="1:24" s="141" customFormat="1">
      <c r="A57" s="399"/>
      <c r="B57" s="400" t="s">
        <v>34</v>
      </c>
      <c r="C57" s="486" t="s">
        <v>243</v>
      </c>
      <c r="D57" s="487"/>
      <c r="E57" s="488"/>
      <c r="F57" s="487"/>
      <c r="G57" s="489"/>
      <c r="H57" s="489"/>
      <c r="I57" s="487"/>
      <c r="J57" s="487"/>
      <c r="K57" s="487"/>
      <c r="L57" s="64"/>
      <c r="M57" s="64"/>
      <c r="N57" s="64"/>
      <c r="O57" s="64"/>
      <c r="P57" s="64"/>
      <c r="Q57" s="64">
        <f>5354200-M60</f>
        <v>1431950</v>
      </c>
      <c r="R57" s="405"/>
      <c r="S57" s="405"/>
      <c r="T57" s="405"/>
      <c r="U57" s="405"/>
      <c r="V57" s="405"/>
      <c r="W57" s="405"/>
      <c r="X57" s="405"/>
    </row>
    <row r="58" spans="1:24" s="141" customFormat="1">
      <c r="A58" s="399"/>
      <c r="B58" s="400" t="s">
        <v>34</v>
      </c>
      <c r="C58" s="401" t="s">
        <v>235</v>
      </c>
      <c r="D58" s="402"/>
      <c r="E58" s="403"/>
      <c r="F58" s="402"/>
      <c r="G58" s="404"/>
      <c r="H58" s="404"/>
      <c r="I58" s="402"/>
      <c r="J58" s="402"/>
      <c r="K58" s="402"/>
      <c r="L58" s="405"/>
      <c r="M58" s="405"/>
      <c r="N58" s="405"/>
      <c r="O58" s="405"/>
      <c r="P58" s="405"/>
      <c r="Q58" s="405">
        <v>100000</v>
      </c>
      <c r="R58" s="405"/>
      <c r="S58" s="405"/>
      <c r="T58" s="405"/>
      <c r="U58" s="405"/>
      <c r="V58" s="405"/>
      <c r="W58" s="405"/>
      <c r="X58" s="405"/>
    </row>
    <row r="59" spans="1:24" s="141" customFormat="1">
      <c r="A59" s="399"/>
      <c r="B59" s="400" t="s">
        <v>34</v>
      </c>
      <c r="C59" s="401" t="s">
        <v>244</v>
      </c>
      <c r="D59" s="402"/>
      <c r="E59" s="403"/>
      <c r="F59" s="402"/>
      <c r="G59" s="404"/>
      <c r="H59" s="404"/>
      <c r="I59" s="402"/>
      <c r="J59" s="402"/>
      <c r="K59" s="402"/>
      <c r="L59" s="405"/>
      <c r="M59" s="405"/>
      <c r="N59" s="405"/>
      <c r="O59" s="405"/>
      <c r="P59" s="406" t="s">
        <v>245</v>
      </c>
      <c r="Q59" s="405">
        <v>0</v>
      </c>
      <c r="R59" s="405"/>
      <c r="S59" s="405"/>
      <c r="T59" s="405"/>
      <c r="U59" s="405"/>
      <c r="V59" s="405"/>
      <c r="W59" s="405"/>
      <c r="X59" s="405"/>
    </row>
    <row r="60" spans="1:24" s="58" customFormat="1" ht="63">
      <c r="A60" s="407"/>
      <c r="B60" s="408"/>
      <c r="C60" s="402" t="s">
        <v>564</v>
      </c>
      <c r="D60" s="394"/>
      <c r="E60" s="395"/>
      <c r="F60" s="394"/>
      <c r="G60" s="396"/>
      <c r="H60" s="396"/>
      <c r="I60" s="394"/>
      <c r="J60" s="394"/>
      <c r="K60" s="394"/>
      <c r="L60" s="397"/>
      <c r="M60" s="398">
        <f>SUM(M61:M108)</f>
        <v>3922250</v>
      </c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</row>
    <row r="61" spans="1:24" s="413" customFormat="1" ht="54">
      <c r="A61" s="409" t="s">
        <v>247</v>
      </c>
      <c r="B61" s="410" t="s">
        <v>41</v>
      </c>
      <c r="C61" s="402" t="s">
        <v>248</v>
      </c>
      <c r="D61" s="402"/>
      <c r="E61" s="403"/>
      <c r="F61" s="411" t="s">
        <v>34</v>
      </c>
      <c r="G61" s="404"/>
      <c r="H61" s="404"/>
      <c r="I61" s="402"/>
      <c r="J61" s="402"/>
      <c r="K61" s="402"/>
      <c r="L61" s="405"/>
      <c r="M61" s="412">
        <f t="shared" ref="M61:M69" si="2">N61+O61+S61+T61+W61+X61</f>
        <v>6750</v>
      </c>
      <c r="N61" s="397">
        <v>0</v>
      </c>
      <c r="O61" s="397">
        <v>0</v>
      </c>
      <c r="P61" s="397">
        <v>0</v>
      </c>
      <c r="Q61" s="405">
        <v>6750</v>
      </c>
      <c r="R61" s="405">
        <v>0</v>
      </c>
      <c r="S61" s="405">
        <f t="shared" ref="S61:S69" si="3">SUM(P61:R61)</f>
        <v>6750</v>
      </c>
      <c r="T61" s="405">
        <v>0</v>
      </c>
      <c r="U61" s="405">
        <v>0</v>
      </c>
      <c r="V61" s="405">
        <v>0</v>
      </c>
      <c r="W61" s="405">
        <f>SUM(U61:V61)</f>
        <v>0</v>
      </c>
      <c r="X61" s="405">
        <v>0</v>
      </c>
    </row>
    <row r="62" spans="1:24" s="413" customFormat="1" ht="54">
      <c r="A62" s="409" t="s">
        <v>251</v>
      </c>
      <c r="B62" s="410" t="s">
        <v>41</v>
      </c>
      <c r="C62" s="402" t="s">
        <v>252</v>
      </c>
      <c r="D62" s="402"/>
      <c r="E62" s="403"/>
      <c r="F62" s="402"/>
      <c r="G62" s="404"/>
      <c r="H62" s="404"/>
      <c r="I62" s="402"/>
      <c r="J62" s="402"/>
      <c r="K62" s="402"/>
      <c r="L62" s="405"/>
      <c r="M62" s="412">
        <f t="shared" si="2"/>
        <v>6600</v>
      </c>
      <c r="N62" s="405">
        <v>0</v>
      </c>
      <c r="O62" s="405">
        <v>0</v>
      </c>
      <c r="P62" s="405">
        <v>0</v>
      </c>
      <c r="Q62" s="405">
        <v>6600</v>
      </c>
      <c r="R62" s="405">
        <v>0</v>
      </c>
      <c r="S62" s="405">
        <f t="shared" si="3"/>
        <v>6600</v>
      </c>
      <c r="T62" s="405"/>
      <c r="U62" s="405"/>
      <c r="V62" s="405"/>
      <c r="W62" s="405"/>
      <c r="X62" s="405"/>
    </row>
    <row r="63" spans="1:24" s="413" customFormat="1" ht="54">
      <c r="A63" s="409" t="s">
        <v>256</v>
      </c>
      <c r="B63" s="410" t="s">
        <v>41</v>
      </c>
      <c r="C63" s="402" t="s">
        <v>257</v>
      </c>
      <c r="D63" s="402"/>
      <c r="E63" s="403"/>
      <c r="F63" s="411" t="s">
        <v>34</v>
      </c>
      <c r="G63" s="404"/>
      <c r="H63" s="404"/>
      <c r="I63" s="402"/>
      <c r="J63" s="402"/>
      <c r="K63" s="402"/>
      <c r="L63" s="405"/>
      <c r="M63" s="412">
        <f t="shared" si="2"/>
        <v>8200</v>
      </c>
      <c r="N63" s="405">
        <v>0</v>
      </c>
      <c r="O63" s="405">
        <v>0</v>
      </c>
      <c r="P63" s="405">
        <v>0</v>
      </c>
      <c r="Q63" s="405">
        <v>8200</v>
      </c>
      <c r="R63" s="405">
        <v>0</v>
      </c>
      <c r="S63" s="405">
        <f t="shared" si="3"/>
        <v>8200</v>
      </c>
      <c r="T63" s="405"/>
      <c r="U63" s="405"/>
      <c r="V63" s="405"/>
      <c r="W63" s="405"/>
      <c r="X63" s="405"/>
    </row>
    <row r="64" spans="1:24" s="413" customFormat="1" ht="54">
      <c r="A64" s="409" t="s">
        <v>262</v>
      </c>
      <c r="B64" s="410" t="s">
        <v>41</v>
      </c>
      <c r="C64" s="402" t="s">
        <v>263</v>
      </c>
      <c r="D64" s="402"/>
      <c r="E64" s="403"/>
      <c r="F64" s="402"/>
      <c r="G64" s="404"/>
      <c r="H64" s="404"/>
      <c r="I64" s="402"/>
      <c r="J64" s="402"/>
      <c r="K64" s="402"/>
      <c r="L64" s="405"/>
      <c r="M64" s="412">
        <f t="shared" si="2"/>
        <v>8000</v>
      </c>
      <c r="N64" s="405">
        <v>0</v>
      </c>
      <c r="O64" s="405">
        <v>0</v>
      </c>
      <c r="P64" s="405">
        <v>0</v>
      </c>
      <c r="Q64" s="405">
        <v>8000</v>
      </c>
      <c r="R64" s="405">
        <v>0</v>
      </c>
      <c r="S64" s="405">
        <f t="shared" si="3"/>
        <v>8000</v>
      </c>
      <c r="T64" s="405"/>
      <c r="U64" s="405"/>
      <c r="V64" s="405"/>
      <c r="W64" s="405"/>
      <c r="X64" s="405"/>
    </row>
    <row r="65" spans="1:24" s="413" customFormat="1" ht="63">
      <c r="A65" s="409" t="s">
        <v>266</v>
      </c>
      <c r="B65" s="414" t="s">
        <v>41</v>
      </c>
      <c r="C65" s="402" t="s">
        <v>267</v>
      </c>
      <c r="D65" s="402"/>
      <c r="E65" s="403"/>
      <c r="F65" s="402"/>
      <c r="G65" s="404"/>
      <c r="H65" s="404"/>
      <c r="I65" s="402"/>
      <c r="J65" s="402"/>
      <c r="K65" s="402"/>
      <c r="L65" s="405"/>
      <c r="M65" s="412">
        <f t="shared" si="2"/>
        <v>4100</v>
      </c>
      <c r="N65" s="405">
        <v>0</v>
      </c>
      <c r="O65" s="405">
        <v>0</v>
      </c>
      <c r="P65" s="405">
        <v>0</v>
      </c>
      <c r="Q65" s="405">
        <v>4100</v>
      </c>
      <c r="R65" s="405">
        <v>0</v>
      </c>
      <c r="S65" s="405">
        <f t="shared" si="3"/>
        <v>4100</v>
      </c>
      <c r="T65" s="405">
        <v>0</v>
      </c>
      <c r="U65" s="405">
        <v>0</v>
      </c>
      <c r="V65" s="405">
        <v>0</v>
      </c>
      <c r="W65" s="405">
        <f>SUM(U65:V65)</f>
        <v>0</v>
      </c>
      <c r="X65" s="405">
        <v>0</v>
      </c>
    </row>
    <row r="66" spans="1:24" s="413" customFormat="1" ht="36">
      <c r="A66" s="409" t="s">
        <v>270</v>
      </c>
      <c r="B66" s="410" t="s">
        <v>128</v>
      </c>
      <c r="C66" s="402" t="s">
        <v>271</v>
      </c>
      <c r="D66" s="402"/>
      <c r="E66" s="403"/>
      <c r="F66" s="402"/>
      <c r="G66" s="404"/>
      <c r="H66" s="404"/>
      <c r="I66" s="402"/>
      <c r="J66" s="402"/>
      <c r="K66" s="402"/>
      <c r="L66" s="405"/>
      <c r="M66" s="412">
        <f t="shared" si="2"/>
        <v>7200</v>
      </c>
      <c r="N66" s="405">
        <v>0</v>
      </c>
      <c r="O66" s="405">
        <v>0</v>
      </c>
      <c r="P66" s="405">
        <v>0</v>
      </c>
      <c r="Q66" s="405">
        <v>7200</v>
      </c>
      <c r="R66" s="405">
        <v>0</v>
      </c>
      <c r="S66" s="405">
        <f t="shared" si="3"/>
        <v>7200</v>
      </c>
      <c r="T66" s="405">
        <v>0</v>
      </c>
      <c r="U66" s="405">
        <v>0</v>
      </c>
      <c r="V66" s="405">
        <v>0</v>
      </c>
      <c r="W66" s="405">
        <f>SUM(U66:V66)</f>
        <v>0</v>
      </c>
      <c r="X66" s="405">
        <v>0</v>
      </c>
    </row>
    <row r="67" spans="1:24" s="413" customFormat="1" ht="54">
      <c r="A67" s="409" t="s">
        <v>274</v>
      </c>
      <c r="B67" s="410" t="s">
        <v>41</v>
      </c>
      <c r="C67" s="402" t="s">
        <v>275</v>
      </c>
      <c r="D67" s="402"/>
      <c r="E67" s="403"/>
      <c r="F67" s="402"/>
      <c r="G67" s="404"/>
      <c r="H67" s="404"/>
      <c r="I67" s="402"/>
      <c r="J67" s="402"/>
      <c r="K67" s="402"/>
      <c r="L67" s="405"/>
      <c r="M67" s="412">
        <f t="shared" si="2"/>
        <v>1600000</v>
      </c>
      <c r="N67" s="405">
        <v>0</v>
      </c>
      <c r="O67" s="405">
        <v>0</v>
      </c>
      <c r="P67" s="405">
        <v>1600000</v>
      </c>
      <c r="Q67" s="405">
        <v>0</v>
      </c>
      <c r="R67" s="405">
        <v>0</v>
      </c>
      <c r="S67" s="405">
        <f t="shared" si="3"/>
        <v>1600000</v>
      </c>
      <c r="T67" s="405">
        <v>0</v>
      </c>
      <c r="U67" s="405">
        <v>0</v>
      </c>
      <c r="V67" s="405">
        <v>0</v>
      </c>
      <c r="W67" s="405">
        <f>SUM(U67:V67)</f>
        <v>0</v>
      </c>
      <c r="X67" s="405">
        <v>0</v>
      </c>
    </row>
    <row r="68" spans="1:24" s="413" customFormat="1" ht="54">
      <c r="A68" s="409" t="s">
        <v>277</v>
      </c>
      <c r="B68" s="410" t="s">
        <v>41</v>
      </c>
      <c r="C68" s="402" t="s">
        <v>278</v>
      </c>
      <c r="D68" s="402"/>
      <c r="E68" s="403"/>
      <c r="F68" s="405" t="s">
        <v>34</v>
      </c>
      <c r="G68" s="404"/>
      <c r="H68" s="404"/>
      <c r="I68" s="402"/>
      <c r="J68" s="402"/>
      <c r="K68" s="402"/>
      <c r="L68" s="405"/>
      <c r="M68" s="412">
        <f t="shared" si="2"/>
        <v>45000</v>
      </c>
      <c r="N68" s="405">
        <v>0</v>
      </c>
      <c r="O68" s="405">
        <v>0</v>
      </c>
      <c r="P68" s="405">
        <v>0</v>
      </c>
      <c r="Q68" s="405">
        <v>45000</v>
      </c>
      <c r="R68" s="405">
        <v>0</v>
      </c>
      <c r="S68" s="405">
        <f t="shared" si="3"/>
        <v>45000</v>
      </c>
      <c r="T68" s="405">
        <v>0</v>
      </c>
      <c r="U68" s="405">
        <v>0</v>
      </c>
      <c r="V68" s="405">
        <v>0</v>
      </c>
      <c r="W68" s="405">
        <f>SUM(U68:V68)</f>
        <v>0</v>
      </c>
      <c r="X68" s="405">
        <v>0</v>
      </c>
    </row>
    <row r="69" spans="1:24" s="413" customFormat="1" ht="63">
      <c r="A69" s="409" t="s">
        <v>286</v>
      </c>
      <c r="B69" s="415" t="s">
        <v>41</v>
      </c>
      <c r="C69" s="402" t="s">
        <v>593</v>
      </c>
      <c r="D69" s="402"/>
      <c r="E69" s="403"/>
      <c r="F69" s="411" t="s">
        <v>34</v>
      </c>
      <c r="G69" s="404"/>
      <c r="H69" s="404"/>
      <c r="I69" s="402"/>
      <c r="J69" s="402"/>
      <c r="K69" s="402"/>
      <c r="L69" s="405"/>
      <c r="M69" s="412">
        <f t="shared" si="2"/>
        <v>300000</v>
      </c>
      <c r="N69" s="405">
        <v>0</v>
      </c>
      <c r="O69" s="405">
        <v>0</v>
      </c>
      <c r="P69" s="405">
        <v>0</v>
      </c>
      <c r="Q69" s="405">
        <v>300000</v>
      </c>
      <c r="R69" s="405">
        <v>0</v>
      </c>
      <c r="S69" s="405">
        <f t="shared" si="3"/>
        <v>300000</v>
      </c>
      <c r="T69" s="405">
        <v>0</v>
      </c>
      <c r="U69" s="405">
        <v>0</v>
      </c>
      <c r="V69" s="405">
        <v>0</v>
      </c>
      <c r="W69" s="405">
        <f>SUM(U69:V69)</f>
        <v>0</v>
      </c>
      <c r="X69" s="405">
        <v>0</v>
      </c>
    </row>
    <row r="70" spans="1:24" s="413" customFormat="1" ht="36" hidden="1">
      <c r="A70" s="409"/>
      <c r="B70" s="415" t="s">
        <v>128</v>
      </c>
      <c r="C70" s="416" t="s">
        <v>288</v>
      </c>
      <c r="D70" s="402"/>
      <c r="E70" s="403"/>
      <c r="F70" s="405">
        <f>1200*12</f>
        <v>14400</v>
      </c>
      <c r="G70" s="404"/>
      <c r="H70" s="404"/>
      <c r="I70" s="402"/>
      <c r="J70" s="402"/>
      <c r="K70" s="402"/>
      <c r="L70" s="405"/>
      <c r="M70" s="405"/>
      <c r="N70" s="405"/>
      <c r="O70" s="405"/>
      <c r="P70" s="405"/>
      <c r="Q70" s="405">
        <f>1200*6*1</f>
        <v>7200</v>
      </c>
      <c r="R70" s="405"/>
      <c r="S70" s="405"/>
      <c r="T70" s="405"/>
      <c r="U70" s="405"/>
      <c r="V70" s="405"/>
      <c r="W70" s="405"/>
      <c r="X70" s="405"/>
    </row>
    <row r="71" spans="1:24" s="413" customFormat="1" ht="36" hidden="1">
      <c r="A71" s="409"/>
      <c r="B71" s="415" t="s">
        <v>128</v>
      </c>
      <c r="C71" s="416" t="s">
        <v>289</v>
      </c>
      <c r="D71" s="402"/>
      <c r="E71" s="403"/>
      <c r="F71" s="405">
        <f>50*70*4</f>
        <v>14000</v>
      </c>
      <c r="G71" s="404"/>
      <c r="H71" s="404"/>
      <c r="I71" s="402"/>
      <c r="J71" s="402"/>
      <c r="K71" s="402"/>
      <c r="L71" s="405"/>
      <c r="M71" s="405"/>
      <c r="N71" s="405"/>
      <c r="O71" s="405"/>
      <c r="P71" s="405"/>
      <c r="Q71" s="405">
        <f>50*60*4</f>
        <v>12000</v>
      </c>
      <c r="R71" s="405"/>
      <c r="S71" s="405"/>
      <c r="T71" s="405"/>
      <c r="U71" s="405"/>
      <c r="V71" s="405"/>
      <c r="W71" s="405"/>
      <c r="X71" s="405"/>
    </row>
    <row r="72" spans="1:24" s="413" customFormat="1" ht="36" hidden="1">
      <c r="A72" s="409"/>
      <c r="B72" s="415" t="s">
        <v>128</v>
      </c>
      <c r="C72" s="416" t="s">
        <v>290</v>
      </c>
      <c r="D72" s="402"/>
      <c r="E72" s="403"/>
      <c r="F72" s="405">
        <f>250*70*3</f>
        <v>52500</v>
      </c>
      <c r="G72" s="404"/>
      <c r="H72" s="404"/>
      <c r="I72" s="402"/>
      <c r="J72" s="402"/>
      <c r="K72" s="402"/>
      <c r="L72" s="405"/>
      <c r="M72" s="405"/>
      <c r="N72" s="405"/>
      <c r="O72" s="405"/>
      <c r="P72" s="405"/>
      <c r="Q72" s="405">
        <f>150*60*2</f>
        <v>18000</v>
      </c>
      <c r="R72" s="405"/>
      <c r="S72" s="405"/>
      <c r="T72" s="405"/>
      <c r="U72" s="405"/>
      <c r="V72" s="405"/>
      <c r="W72" s="405"/>
      <c r="X72" s="405"/>
    </row>
    <row r="73" spans="1:24" s="413" customFormat="1" ht="36" hidden="1">
      <c r="A73" s="409"/>
      <c r="B73" s="415" t="s">
        <v>128</v>
      </c>
      <c r="C73" s="416" t="s">
        <v>291</v>
      </c>
      <c r="D73" s="402"/>
      <c r="E73" s="403"/>
      <c r="F73" s="405">
        <f>300*70*2</f>
        <v>42000</v>
      </c>
      <c r="G73" s="404"/>
      <c r="H73" s="404"/>
      <c r="I73" s="402"/>
      <c r="J73" s="402"/>
      <c r="K73" s="402"/>
      <c r="L73" s="405"/>
      <c r="M73" s="405"/>
      <c r="N73" s="405"/>
      <c r="O73" s="405"/>
      <c r="P73" s="405"/>
      <c r="Q73" s="405">
        <f>250*60*2</f>
        <v>30000</v>
      </c>
      <c r="R73" s="405"/>
      <c r="S73" s="405"/>
      <c r="T73" s="405"/>
      <c r="U73" s="405"/>
      <c r="V73" s="405"/>
      <c r="W73" s="405"/>
      <c r="X73" s="405"/>
    </row>
    <row r="74" spans="1:24" s="413" customFormat="1" ht="36" hidden="1">
      <c r="A74" s="409"/>
      <c r="B74" s="415" t="s">
        <v>128</v>
      </c>
      <c r="C74" s="417" t="s">
        <v>292</v>
      </c>
      <c r="D74" s="418"/>
      <c r="E74" s="419"/>
      <c r="F74" s="420">
        <v>30000</v>
      </c>
      <c r="G74" s="404"/>
      <c r="H74" s="404"/>
      <c r="I74" s="402"/>
      <c r="J74" s="402"/>
      <c r="K74" s="402"/>
      <c r="L74" s="405"/>
      <c r="M74" s="405"/>
      <c r="N74" s="405"/>
      <c r="O74" s="405"/>
      <c r="P74" s="405"/>
      <c r="Q74" s="405">
        <v>5000</v>
      </c>
      <c r="R74" s="405"/>
      <c r="S74" s="405"/>
      <c r="T74" s="405"/>
      <c r="U74" s="405"/>
      <c r="V74" s="405"/>
      <c r="W74" s="405"/>
      <c r="X74" s="405"/>
    </row>
    <row r="75" spans="1:24" s="413" customFormat="1" ht="36" hidden="1">
      <c r="A75" s="409"/>
      <c r="B75" s="415" t="s">
        <v>128</v>
      </c>
      <c r="C75" s="416" t="s">
        <v>293</v>
      </c>
      <c r="D75" s="402"/>
      <c r="E75" s="403"/>
      <c r="F75" s="421">
        <f>15000*5</f>
        <v>75000</v>
      </c>
      <c r="G75" s="404"/>
      <c r="H75" s="404"/>
      <c r="I75" s="402"/>
      <c r="J75" s="402"/>
      <c r="K75" s="402"/>
      <c r="L75" s="405"/>
      <c r="M75" s="405"/>
      <c r="N75" s="405"/>
      <c r="O75" s="405"/>
      <c r="P75" s="405"/>
      <c r="Q75" s="405">
        <f>15000*4</f>
        <v>60000</v>
      </c>
      <c r="R75" s="405"/>
      <c r="S75" s="405"/>
      <c r="T75" s="405"/>
      <c r="U75" s="405"/>
      <c r="V75" s="405"/>
      <c r="W75" s="405"/>
      <c r="X75" s="405"/>
    </row>
    <row r="76" spans="1:24" s="413" customFormat="1" ht="36" hidden="1">
      <c r="A76" s="409"/>
      <c r="B76" s="415" t="s">
        <v>128</v>
      </c>
      <c r="C76" s="416" t="s">
        <v>294</v>
      </c>
      <c r="D76" s="402"/>
      <c r="E76" s="403"/>
      <c r="F76" s="421">
        <f>1000*70*3</f>
        <v>210000</v>
      </c>
      <c r="G76" s="404"/>
      <c r="H76" s="404"/>
      <c r="I76" s="402"/>
      <c r="J76" s="402"/>
      <c r="K76" s="402"/>
      <c r="L76" s="405"/>
      <c r="M76" s="405"/>
      <c r="N76" s="405"/>
      <c r="O76" s="405"/>
      <c r="P76" s="405"/>
      <c r="Q76" s="405">
        <f>800*60*3</f>
        <v>144000</v>
      </c>
      <c r="R76" s="405"/>
      <c r="S76" s="405"/>
      <c r="T76" s="405"/>
      <c r="U76" s="405"/>
      <c r="V76" s="405"/>
      <c r="W76" s="405"/>
      <c r="X76" s="405"/>
    </row>
    <row r="77" spans="1:24" s="413" customFormat="1" ht="36" hidden="1">
      <c r="A77" s="409"/>
      <c r="B77" s="415" t="s">
        <v>128</v>
      </c>
      <c r="C77" s="416" t="s">
        <v>295</v>
      </c>
      <c r="D77" s="402"/>
      <c r="E77" s="403"/>
      <c r="F77" s="421"/>
      <c r="G77" s="404"/>
      <c r="H77" s="404"/>
      <c r="I77" s="402"/>
      <c r="J77" s="402"/>
      <c r="K77" s="402"/>
      <c r="L77" s="405"/>
      <c r="M77" s="405"/>
      <c r="N77" s="405"/>
      <c r="O77" s="405"/>
      <c r="P77" s="405"/>
      <c r="Q77" s="405">
        <f>10000</f>
        <v>10000</v>
      </c>
      <c r="R77" s="405"/>
      <c r="S77" s="405"/>
      <c r="T77" s="405"/>
      <c r="U77" s="405"/>
      <c r="V77" s="405"/>
      <c r="W77" s="405"/>
      <c r="X77" s="405"/>
    </row>
    <row r="78" spans="1:24" s="413" customFormat="1" ht="36" hidden="1">
      <c r="A78" s="409"/>
      <c r="B78" s="415" t="s">
        <v>128</v>
      </c>
      <c r="C78" s="416" t="s">
        <v>283</v>
      </c>
      <c r="D78" s="402"/>
      <c r="E78" s="403"/>
      <c r="F78" s="405">
        <v>8000</v>
      </c>
      <c r="G78" s="404"/>
      <c r="H78" s="404"/>
      <c r="I78" s="402"/>
      <c r="J78" s="402"/>
      <c r="K78" s="402"/>
      <c r="L78" s="405"/>
      <c r="M78" s="405"/>
      <c r="N78" s="405"/>
      <c r="O78" s="405"/>
      <c r="P78" s="405"/>
      <c r="Q78" s="405">
        <v>0</v>
      </c>
      <c r="R78" s="405"/>
      <c r="S78" s="405"/>
      <c r="T78" s="405"/>
      <c r="U78" s="405"/>
      <c r="V78" s="405"/>
      <c r="W78" s="405"/>
      <c r="X78" s="405"/>
    </row>
    <row r="79" spans="1:24" s="413" customFormat="1" ht="36" hidden="1">
      <c r="A79" s="409"/>
      <c r="B79" s="415" t="s">
        <v>128</v>
      </c>
      <c r="C79" s="416" t="s">
        <v>296</v>
      </c>
      <c r="D79" s="402"/>
      <c r="E79" s="403"/>
      <c r="F79" s="411">
        <f>500000-F70-F71-F72-F73-F74-F75-F76-F78</f>
        <v>54100</v>
      </c>
      <c r="G79" s="404"/>
      <c r="H79" s="404"/>
      <c r="I79" s="402"/>
      <c r="J79" s="402"/>
      <c r="K79" s="402"/>
      <c r="L79" s="405"/>
      <c r="M79" s="405"/>
      <c r="N79" s="405"/>
      <c r="O79" s="405"/>
      <c r="P79" s="405"/>
      <c r="Q79" s="405">
        <v>0</v>
      </c>
      <c r="R79" s="405"/>
      <c r="S79" s="405"/>
      <c r="T79" s="405"/>
      <c r="U79" s="405"/>
      <c r="V79" s="405"/>
      <c r="W79" s="405"/>
      <c r="X79" s="405"/>
    </row>
    <row r="80" spans="1:24" s="413" customFormat="1" ht="54">
      <c r="A80" s="409" t="s">
        <v>297</v>
      </c>
      <c r="B80" s="410" t="s">
        <v>41</v>
      </c>
      <c r="C80" s="402" t="s">
        <v>298</v>
      </c>
      <c r="D80" s="402"/>
      <c r="E80" s="403"/>
      <c r="F80" s="402"/>
      <c r="G80" s="404"/>
      <c r="H80" s="404"/>
      <c r="I80" s="402"/>
      <c r="J80" s="402"/>
      <c r="K80" s="402"/>
      <c r="L80" s="405"/>
      <c r="M80" s="412">
        <f t="shared" ref="M80:M104" si="4">N80+O80+S80+T80+W80+X80</f>
        <v>20000</v>
      </c>
      <c r="N80" s="405">
        <v>0</v>
      </c>
      <c r="O80" s="405">
        <v>0</v>
      </c>
      <c r="P80" s="405">
        <v>0</v>
      </c>
      <c r="Q80" s="405">
        <v>20000</v>
      </c>
      <c r="R80" s="405">
        <v>0</v>
      </c>
      <c r="S80" s="405">
        <f t="shared" ref="S80:S86" si="5">SUM(P80:R80)</f>
        <v>20000</v>
      </c>
      <c r="T80" s="405">
        <v>0</v>
      </c>
      <c r="U80" s="405">
        <v>0</v>
      </c>
      <c r="V80" s="405">
        <v>0</v>
      </c>
      <c r="W80" s="405">
        <f t="shared" ref="W80:W86" si="6">SUM(U80:V80)</f>
        <v>0</v>
      </c>
      <c r="X80" s="405">
        <v>0</v>
      </c>
    </row>
    <row r="81" spans="1:24" s="413" customFormat="1" ht="54">
      <c r="A81" s="409" t="s">
        <v>301</v>
      </c>
      <c r="B81" s="410" t="s">
        <v>41</v>
      </c>
      <c r="C81" s="402" t="s">
        <v>302</v>
      </c>
      <c r="D81" s="402"/>
      <c r="E81" s="403"/>
      <c r="F81" s="411" t="s">
        <v>34</v>
      </c>
      <c r="G81" s="404"/>
      <c r="H81" s="404"/>
      <c r="I81" s="402"/>
      <c r="J81" s="402"/>
      <c r="K81" s="402"/>
      <c r="L81" s="405"/>
      <c r="M81" s="412">
        <f t="shared" si="4"/>
        <v>10500</v>
      </c>
      <c r="N81" s="405">
        <v>0</v>
      </c>
      <c r="O81" s="405">
        <v>0</v>
      </c>
      <c r="P81" s="405">
        <v>0</v>
      </c>
      <c r="Q81" s="405">
        <v>10500</v>
      </c>
      <c r="R81" s="405">
        <v>0</v>
      </c>
      <c r="S81" s="405">
        <f t="shared" si="5"/>
        <v>10500</v>
      </c>
      <c r="T81" s="405">
        <v>0</v>
      </c>
      <c r="U81" s="405">
        <v>0</v>
      </c>
      <c r="V81" s="405">
        <v>0</v>
      </c>
      <c r="W81" s="405">
        <f t="shared" si="6"/>
        <v>0</v>
      </c>
      <c r="X81" s="405">
        <v>0</v>
      </c>
    </row>
    <row r="82" spans="1:24" s="413" customFormat="1" ht="54">
      <c r="A82" s="409" t="s">
        <v>305</v>
      </c>
      <c r="B82" s="410" t="s">
        <v>41</v>
      </c>
      <c r="C82" s="402" t="s">
        <v>306</v>
      </c>
      <c r="D82" s="402"/>
      <c r="E82" s="403"/>
      <c r="F82" s="402"/>
      <c r="G82" s="404"/>
      <c r="H82" s="404"/>
      <c r="I82" s="402"/>
      <c r="J82" s="402"/>
      <c r="K82" s="402"/>
      <c r="L82" s="405"/>
      <c r="M82" s="412">
        <f t="shared" si="4"/>
        <v>20000</v>
      </c>
      <c r="N82" s="405">
        <v>0</v>
      </c>
      <c r="O82" s="405">
        <v>0</v>
      </c>
      <c r="P82" s="405">
        <v>0</v>
      </c>
      <c r="Q82" s="405">
        <v>20000</v>
      </c>
      <c r="R82" s="405">
        <v>0</v>
      </c>
      <c r="S82" s="405">
        <f t="shared" si="5"/>
        <v>20000</v>
      </c>
      <c r="T82" s="405">
        <v>0</v>
      </c>
      <c r="U82" s="405">
        <v>0</v>
      </c>
      <c r="V82" s="405">
        <v>0</v>
      </c>
      <c r="W82" s="405">
        <f t="shared" si="6"/>
        <v>0</v>
      </c>
      <c r="X82" s="405">
        <v>0</v>
      </c>
    </row>
    <row r="83" spans="1:24" s="413" customFormat="1" ht="54">
      <c r="A83" s="409" t="s">
        <v>309</v>
      </c>
      <c r="B83" s="410" t="s">
        <v>41</v>
      </c>
      <c r="C83" s="402" t="s">
        <v>310</v>
      </c>
      <c r="D83" s="402"/>
      <c r="E83" s="403"/>
      <c r="F83" s="402"/>
      <c r="G83" s="404"/>
      <c r="H83" s="404"/>
      <c r="I83" s="402"/>
      <c r="J83" s="402"/>
      <c r="K83" s="402"/>
      <c r="L83" s="405"/>
      <c r="M83" s="412">
        <f t="shared" si="4"/>
        <v>20000</v>
      </c>
      <c r="N83" s="405">
        <v>0</v>
      </c>
      <c r="O83" s="405">
        <v>0</v>
      </c>
      <c r="P83" s="405">
        <v>0</v>
      </c>
      <c r="Q83" s="405">
        <v>20000</v>
      </c>
      <c r="R83" s="405">
        <v>0</v>
      </c>
      <c r="S83" s="405">
        <f t="shared" si="5"/>
        <v>20000</v>
      </c>
      <c r="T83" s="405">
        <v>0</v>
      </c>
      <c r="U83" s="405">
        <v>0</v>
      </c>
      <c r="V83" s="405">
        <v>0</v>
      </c>
      <c r="W83" s="405">
        <f t="shared" si="6"/>
        <v>0</v>
      </c>
      <c r="X83" s="405">
        <v>0</v>
      </c>
    </row>
    <row r="84" spans="1:24" s="413" customFormat="1" ht="43.5" customHeight="1">
      <c r="A84" s="409" t="s">
        <v>311</v>
      </c>
      <c r="B84" s="422" t="s">
        <v>45</v>
      </c>
      <c r="C84" s="390" t="s">
        <v>312</v>
      </c>
      <c r="D84" s="390" t="s">
        <v>313</v>
      </c>
      <c r="E84" s="390" t="s">
        <v>314</v>
      </c>
      <c r="F84" s="423" t="s">
        <v>315</v>
      </c>
      <c r="G84" s="424"/>
      <c r="H84" s="425"/>
      <c r="I84" s="426" t="s">
        <v>57</v>
      </c>
      <c r="J84" s="390"/>
      <c r="K84" s="390"/>
      <c r="L84" s="412"/>
      <c r="M84" s="412">
        <f t="shared" si="4"/>
        <v>3000</v>
      </c>
      <c r="N84" s="405">
        <v>0</v>
      </c>
      <c r="O84" s="405">
        <v>0</v>
      </c>
      <c r="P84" s="405">
        <v>0</v>
      </c>
      <c r="Q84" s="427">
        <v>3000</v>
      </c>
      <c r="R84" s="405">
        <v>0</v>
      </c>
      <c r="S84" s="405">
        <f t="shared" si="5"/>
        <v>3000</v>
      </c>
      <c r="T84" s="405">
        <v>0</v>
      </c>
      <c r="U84" s="405">
        <v>0</v>
      </c>
      <c r="V84" s="405">
        <v>0</v>
      </c>
      <c r="W84" s="405">
        <f t="shared" si="6"/>
        <v>0</v>
      </c>
      <c r="X84" s="405">
        <v>0</v>
      </c>
    </row>
    <row r="85" spans="1:24" s="413" customFormat="1" ht="62.25" customHeight="1">
      <c r="A85" s="409" t="s">
        <v>318</v>
      </c>
      <c r="B85" s="422" t="s">
        <v>45</v>
      </c>
      <c r="C85" s="390" t="s">
        <v>319</v>
      </c>
      <c r="D85" s="390" t="s">
        <v>320</v>
      </c>
      <c r="E85" s="390" t="s">
        <v>321</v>
      </c>
      <c r="F85" s="390" t="s">
        <v>322</v>
      </c>
      <c r="G85" s="424"/>
      <c r="H85" s="424"/>
      <c r="I85" s="428" t="s">
        <v>323</v>
      </c>
      <c r="J85" s="390"/>
      <c r="K85" s="390"/>
      <c r="L85" s="412"/>
      <c r="M85" s="412">
        <f t="shared" si="4"/>
        <v>13500</v>
      </c>
      <c r="N85" s="405">
        <v>0</v>
      </c>
      <c r="O85" s="405">
        <v>0</v>
      </c>
      <c r="P85" s="405">
        <v>0</v>
      </c>
      <c r="Q85" s="427">
        <v>13500</v>
      </c>
      <c r="R85" s="405">
        <v>0</v>
      </c>
      <c r="S85" s="405">
        <f t="shared" si="5"/>
        <v>13500</v>
      </c>
      <c r="T85" s="405">
        <v>0</v>
      </c>
      <c r="U85" s="405">
        <v>0</v>
      </c>
      <c r="V85" s="405">
        <v>0</v>
      </c>
      <c r="W85" s="405">
        <f t="shared" si="6"/>
        <v>0</v>
      </c>
      <c r="X85" s="405">
        <v>0</v>
      </c>
    </row>
    <row r="86" spans="1:24" s="413" customFormat="1" ht="47.25" customHeight="1">
      <c r="A86" s="409" t="s">
        <v>326</v>
      </c>
      <c r="B86" s="422" t="s">
        <v>106</v>
      </c>
      <c r="C86" s="390" t="s">
        <v>327</v>
      </c>
      <c r="D86" s="390"/>
      <c r="E86" s="429"/>
      <c r="F86" s="390"/>
      <c r="G86" s="424"/>
      <c r="H86" s="424"/>
      <c r="I86" s="404" t="s">
        <v>57</v>
      </c>
      <c r="J86" s="390"/>
      <c r="K86" s="390"/>
      <c r="L86" s="412"/>
      <c r="M86" s="412">
        <f t="shared" si="4"/>
        <v>11100</v>
      </c>
      <c r="N86" s="405">
        <v>0</v>
      </c>
      <c r="O86" s="405">
        <v>0</v>
      </c>
      <c r="P86" s="405">
        <v>0</v>
      </c>
      <c r="Q86" s="427">
        <v>11100</v>
      </c>
      <c r="R86" s="405">
        <v>0</v>
      </c>
      <c r="S86" s="405">
        <f t="shared" si="5"/>
        <v>11100</v>
      </c>
      <c r="T86" s="405">
        <v>0</v>
      </c>
      <c r="U86" s="405">
        <v>0</v>
      </c>
      <c r="V86" s="405">
        <v>0</v>
      </c>
      <c r="W86" s="405">
        <f t="shared" si="6"/>
        <v>0</v>
      </c>
      <c r="X86" s="405">
        <v>0</v>
      </c>
    </row>
    <row r="87" spans="1:24" s="413" customFormat="1" ht="64.5" customHeight="1">
      <c r="A87" s="409" t="s">
        <v>331</v>
      </c>
      <c r="B87" s="430" t="s">
        <v>89</v>
      </c>
      <c r="C87" s="431" t="s">
        <v>332</v>
      </c>
      <c r="D87" s="432" t="s">
        <v>333</v>
      </c>
      <c r="E87" s="432" t="s">
        <v>334</v>
      </c>
      <c r="F87" s="390" t="s">
        <v>335</v>
      </c>
      <c r="G87" s="424"/>
      <c r="H87" s="424"/>
      <c r="I87" s="404"/>
      <c r="J87" s="390"/>
      <c r="K87" s="390"/>
      <c r="L87" s="412"/>
      <c r="M87" s="412">
        <f t="shared" si="4"/>
        <v>17100</v>
      </c>
      <c r="N87" s="405">
        <v>0</v>
      </c>
      <c r="O87" s="405">
        <v>0</v>
      </c>
      <c r="P87" s="405">
        <v>0</v>
      </c>
      <c r="Q87" s="405">
        <v>17100</v>
      </c>
      <c r="R87" s="405">
        <v>0</v>
      </c>
      <c r="S87" s="405">
        <f t="shared" ref="S87:S104" si="7">P87+Q87+R87</f>
        <v>17100</v>
      </c>
      <c r="T87" s="405">
        <v>0</v>
      </c>
      <c r="U87" s="405">
        <v>0</v>
      </c>
      <c r="V87" s="405">
        <v>0</v>
      </c>
      <c r="W87" s="405">
        <f t="shared" ref="W87:W104" si="8">U87+V87</f>
        <v>0</v>
      </c>
      <c r="X87" s="405">
        <v>0</v>
      </c>
    </row>
    <row r="88" spans="1:24" s="413" customFormat="1" ht="63" customHeight="1">
      <c r="A88" s="409" t="s">
        <v>338</v>
      </c>
      <c r="B88" s="422" t="s">
        <v>81</v>
      </c>
      <c r="C88" s="390" t="s">
        <v>339</v>
      </c>
      <c r="D88" s="432" t="s">
        <v>340</v>
      </c>
      <c r="E88" s="429" t="s">
        <v>341</v>
      </c>
      <c r="F88" s="390"/>
      <c r="G88" s="424"/>
      <c r="H88" s="424"/>
      <c r="I88" s="404"/>
      <c r="J88" s="390"/>
      <c r="K88" s="390"/>
      <c r="L88" s="412"/>
      <c r="M88" s="412">
        <f t="shared" si="4"/>
        <v>16200</v>
      </c>
      <c r="N88" s="405">
        <v>0</v>
      </c>
      <c r="O88" s="405">
        <v>0</v>
      </c>
      <c r="P88" s="405">
        <v>0</v>
      </c>
      <c r="Q88" s="427">
        <v>16200</v>
      </c>
      <c r="R88" s="405">
        <v>0</v>
      </c>
      <c r="S88" s="405">
        <f t="shared" si="7"/>
        <v>16200</v>
      </c>
      <c r="T88" s="405">
        <v>0</v>
      </c>
      <c r="U88" s="405">
        <v>0</v>
      </c>
      <c r="V88" s="405">
        <v>0</v>
      </c>
      <c r="W88" s="405">
        <f t="shared" si="8"/>
        <v>0</v>
      </c>
      <c r="X88" s="405">
        <v>0</v>
      </c>
    </row>
    <row r="89" spans="1:24" s="413" customFormat="1" ht="129" customHeight="1">
      <c r="A89" s="409" t="s">
        <v>344</v>
      </c>
      <c r="B89" s="422" t="s">
        <v>81</v>
      </c>
      <c r="C89" s="431" t="s">
        <v>345</v>
      </c>
      <c r="D89" s="431" t="s">
        <v>346</v>
      </c>
      <c r="E89" s="433" t="s">
        <v>347</v>
      </c>
      <c r="F89" s="431"/>
      <c r="G89" s="434"/>
      <c r="H89" s="434"/>
      <c r="I89" s="404"/>
      <c r="J89" s="431"/>
      <c r="K89" s="431"/>
      <c r="L89" s="435"/>
      <c r="M89" s="412">
        <f t="shared" si="4"/>
        <v>20000</v>
      </c>
      <c r="N89" s="405">
        <v>0</v>
      </c>
      <c r="O89" s="405">
        <v>0</v>
      </c>
      <c r="P89" s="405">
        <v>0</v>
      </c>
      <c r="Q89" s="406">
        <v>20000</v>
      </c>
      <c r="R89" s="405">
        <v>0</v>
      </c>
      <c r="S89" s="405">
        <f t="shared" si="7"/>
        <v>20000</v>
      </c>
      <c r="T89" s="405">
        <v>0</v>
      </c>
      <c r="U89" s="405">
        <v>0</v>
      </c>
      <c r="V89" s="405">
        <v>0</v>
      </c>
      <c r="W89" s="405">
        <f t="shared" si="8"/>
        <v>0</v>
      </c>
      <c r="X89" s="405">
        <v>0</v>
      </c>
    </row>
    <row r="90" spans="1:24" s="413" customFormat="1" ht="69.75" customHeight="1">
      <c r="A90" s="409" t="s">
        <v>349</v>
      </c>
      <c r="B90" s="436" t="s">
        <v>140</v>
      </c>
      <c r="C90" s="390" t="s">
        <v>350</v>
      </c>
      <c r="D90" s="390" t="s">
        <v>34</v>
      </c>
      <c r="E90" s="437" t="s">
        <v>34</v>
      </c>
      <c r="F90" s="390"/>
      <c r="G90" s="424"/>
      <c r="H90" s="424"/>
      <c r="I90" s="404"/>
      <c r="J90" s="390"/>
      <c r="K90" s="390"/>
      <c r="L90" s="412"/>
      <c r="M90" s="412">
        <f t="shared" si="4"/>
        <v>19500</v>
      </c>
      <c r="N90" s="405">
        <v>0</v>
      </c>
      <c r="O90" s="405">
        <v>0</v>
      </c>
      <c r="P90" s="405">
        <v>0</v>
      </c>
      <c r="Q90" s="427">
        <v>19500</v>
      </c>
      <c r="R90" s="405">
        <v>0</v>
      </c>
      <c r="S90" s="405">
        <f t="shared" si="7"/>
        <v>19500</v>
      </c>
      <c r="T90" s="405">
        <v>0</v>
      </c>
      <c r="U90" s="405">
        <v>0</v>
      </c>
      <c r="V90" s="405">
        <v>0</v>
      </c>
      <c r="W90" s="405">
        <f t="shared" si="8"/>
        <v>0</v>
      </c>
      <c r="X90" s="405">
        <v>0</v>
      </c>
    </row>
    <row r="91" spans="1:24" s="413" customFormat="1" ht="107.25" customHeight="1">
      <c r="A91" s="409" t="s">
        <v>353</v>
      </c>
      <c r="B91" s="436" t="s">
        <v>140</v>
      </c>
      <c r="C91" s="390" t="s">
        <v>354</v>
      </c>
      <c r="D91" s="390" t="s">
        <v>34</v>
      </c>
      <c r="E91" s="437" t="s">
        <v>34</v>
      </c>
      <c r="F91" s="390"/>
      <c r="G91" s="424"/>
      <c r="H91" s="424"/>
      <c r="I91" s="404"/>
      <c r="J91" s="390"/>
      <c r="K91" s="390"/>
      <c r="L91" s="412"/>
      <c r="M91" s="412">
        <f t="shared" si="4"/>
        <v>50000</v>
      </c>
      <c r="N91" s="405">
        <v>0</v>
      </c>
      <c r="O91" s="405">
        <v>0</v>
      </c>
      <c r="P91" s="405">
        <v>0</v>
      </c>
      <c r="Q91" s="427">
        <v>50000</v>
      </c>
      <c r="R91" s="405">
        <v>0</v>
      </c>
      <c r="S91" s="405">
        <f t="shared" si="7"/>
        <v>50000</v>
      </c>
      <c r="T91" s="405">
        <v>0</v>
      </c>
      <c r="U91" s="405">
        <v>0</v>
      </c>
      <c r="V91" s="405">
        <v>0</v>
      </c>
      <c r="W91" s="405">
        <f t="shared" si="8"/>
        <v>0</v>
      </c>
      <c r="X91" s="405">
        <v>0</v>
      </c>
    </row>
    <row r="92" spans="1:24" s="413" customFormat="1" ht="42">
      <c r="A92" s="409" t="s">
        <v>356</v>
      </c>
      <c r="B92" s="422" t="s">
        <v>357</v>
      </c>
      <c r="C92" s="390" t="s">
        <v>358</v>
      </c>
      <c r="D92" s="390" t="s">
        <v>34</v>
      </c>
      <c r="E92" s="437" t="s">
        <v>34</v>
      </c>
      <c r="F92" s="390"/>
      <c r="G92" s="424"/>
      <c r="H92" s="424"/>
      <c r="I92" s="404"/>
      <c r="J92" s="390"/>
      <c r="K92" s="390"/>
      <c r="L92" s="412"/>
      <c r="M92" s="412">
        <f t="shared" si="4"/>
        <v>25000</v>
      </c>
      <c r="N92" s="405">
        <v>0</v>
      </c>
      <c r="O92" s="405">
        <v>0</v>
      </c>
      <c r="P92" s="405">
        <v>0</v>
      </c>
      <c r="Q92" s="427">
        <v>25000</v>
      </c>
      <c r="R92" s="405">
        <v>0</v>
      </c>
      <c r="S92" s="405">
        <f t="shared" si="7"/>
        <v>25000</v>
      </c>
      <c r="T92" s="405">
        <v>0</v>
      </c>
      <c r="U92" s="405">
        <v>0</v>
      </c>
      <c r="V92" s="405">
        <v>0</v>
      </c>
      <c r="W92" s="405">
        <f t="shared" si="8"/>
        <v>0</v>
      </c>
      <c r="X92" s="405">
        <v>0</v>
      </c>
    </row>
    <row r="93" spans="1:24" s="413" customFormat="1" ht="41.25" customHeight="1">
      <c r="A93" s="409" t="s">
        <v>364</v>
      </c>
      <c r="B93" s="422" t="s">
        <v>365</v>
      </c>
      <c r="C93" s="390" t="s">
        <v>366</v>
      </c>
      <c r="D93" s="390"/>
      <c r="E93" s="429"/>
      <c r="F93" s="390"/>
      <c r="G93" s="424"/>
      <c r="H93" s="424"/>
      <c r="I93" s="404" t="s">
        <v>57</v>
      </c>
      <c r="J93" s="390"/>
      <c r="K93" s="390"/>
      <c r="L93" s="412"/>
      <c r="M93" s="412">
        <f t="shared" si="4"/>
        <v>30000</v>
      </c>
      <c r="N93" s="405">
        <v>0</v>
      </c>
      <c r="O93" s="405">
        <v>0</v>
      </c>
      <c r="P93" s="405">
        <v>0</v>
      </c>
      <c r="Q93" s="405">
        <v>30000</v>
      </c>
      <c r="R93" s="405">
        <v>0</v>
      </c>
      <c r="S93" s="405">
        <f t="shared" si="7"/>
        <v>30000</v>
      </c>
      <c r="T93" s="405">
        <v>0</v>
      </c>
      <c r="U93" s="405">
        <v>0</v>
      </c>
      <c r="V93" s="405">
        <v>0</v>
      </c>
      <c r="W93" s="405">
        <f t="shared" si="8"/>
        <v>0</v>
      </c>
      <c r="X93" s="405">
        <v>0</v>
      </c>
    </row>
    <row r="94" spans="1:24" s="413" customFormat="1" ht="63">
      <c r="A94" s="409" t="s">
        <v>368</v>
      </c>
      <c r="B94" s="414" t="s">
        <v>128</v>
      </c>
      <c r="C94" s="402" t="s">
        <v>369</v>
      </c>
      <c r="D94" s="402"/>
      <c r="E94" s="403"/>
      <c r="F94" s="421" t="s">
        <v>34</v>
      </c>
      <c r="G94" s="404"/>
      <c r="H94" s="404"/>
      <c r="I94" s="402"/>
      <c r="J94" s="402"/>
      <c r="K94" s="402"/>
      <c r="L94" s="405"/>
      <c r="M94" s="412">
        <f t="shared" si="4"/>
        <v>75000</v>
      </c>
      <c r="N94" s="405">
        <v>0</v>
      </c>
      <c r="O94" s="405">
        <v>0</v>
      </c>
      <c r="P94" s="405">
        <v>0</v>
      </c>
      <c r="Q94" s="405">
        <v>75000</v>
      </c>
      <c r="R94" s="405">
        <v>0</v>
      </c>
      <c r="S94" s="405">
        <f t="shared" si="7"/>
        <v>75000</v>
      </c>
      <c r="T94" s="405">
        <v>0</v>
      </c>
      <c r="U94" s="405">
        <v>0</v>
      </c>
      <c r="V94" s="405">
        <v>0</v>
      </c>
      <c r="W94" s="405">
        <f t="shared" si="8"/>
        <v>0</v>
      </c>
      <c r="X94" s="405">
        <v>0</v>
      </c>
    </row>
    <row r="95" spans="1:24" s="413" customFormat="1" ht="63">
      <c r="A95" s="409" t="s">
        <v>375</v>
      </c>
      <c r="B95" s="414" t="s">
        <v>41</v>
      </c>
      <c r="C95" s="402" t="s">
        <v>376</v>
      </c>
      <c r="D95" s="402"/>
      <c r="E95" s="403"/>
      <c r="F95" s="405" t="s">
        <v>34</v>
      </c>
      <c r="G95" s="404"/>
      <c r="H95" s="404"/>
      <c r="I95" s="402"/>
      <c r="J95" s="402"/>
      <c r="K95" s="402"/>
      <c r="L95" s="405"/>
      <c r="M95" s="412">
        <f t="shared" si="4"/>
        <v>5000</v>
      </c>
      <c r="N95" s="405">
        <v>0</v>
      </c>
      <c r="O95" s="405">
        <v>0</v>
      </c>
      <c r="P95" s="405">
        <v>0</v>
      </c>
      <c r="Q95" s="405">
        <v>5000</v>
      </c>
      <c r="R95" s="405">
        <v>0</v>
      </c>
      <c r="S95" s="405">
        <f t="shared" si="7"/>
        <v>5000</v>
      </c>
      <c r="T95" s="405">
        <v>0</v>
      </c>
      <c r="U95" s="405">
        <v>0</v>
      </c>
      <c r="V95" s="405">
        <v>0</v>
      </c>
      <c r="W95" s="405">
        <f t="shared" si="8"/>
        <v>0</v>
      </c>
      <c r="X95" s="405">
        <v>0</v>
      </c>
    </row>
    <row r="96" spans="1:24" s="413" customFormat="1" ht="63">
      <c r="A96" s="409" t="s">
        <v>380</v>
      </c>
      <c r="B96" s="414" t="s">
        <v>41</v>
      </c>
      <c r="C96" s="402" t="s">
        <v>381</v>
      </c>
      <c r="D96" s="402"/>
      <c r="E96" s="403"/>
      <c r="F96" s="402"/>
      <c r="G96" s="404"/>
      <c r="H96" s="404"/>
      <c r="I96" s="402"/>
      <c r="J96" s="402"/>
      <c r="K96" s="402"/>
      <c r="L96" s="405"/>
      <c r="M96" s="412">
        <f t="shared" si="4"/>
        <v>25000</v>
      </c>
      <c r="N96" s="405">
        <v>0</v>
      </c>
      <c r="O96" s="405">
        <v>0</v>
      </c>
      <c r="P96" s="405">
        <v>0</v>
      </c>
      <c r="Q96" s="405">
        <v>25000</v>
      </c>
      <c r="R96" s="405">
        <v>0</v>
      </c>
      <c r="S96" s="405">
        <f t="shared" si="7"/>
        <v>25000</v>
      </c>
      <c r="T96" s="405">
        <v>0</v>
      </c>
      <c r="U96" s="405">
        <v>0</v>
      </c>
      <c r="V96" s="405">
        <v>0</v>
      </c>
      <c r="W96" s="405">
        <f t="shared" si="8"/>
        <v>0</v>
      </c>
      <c r="X96" s="405">
        <v>0</v>
      </c>
    </row>
    <row r="97" spans="1:24" s="413" customFormat="1" ht="42">
      <c r="A97" s="409" t="s">
        <v>383</v>
      </c>
      <c r="B97" s="422" t="s">
        <v>181</v>
      </c>
      <c r="C97" s="390" t="s">
        <v>566</v>
      </c>
      <c r="D97" s="390"/>
      <c r="E97" s="429"/>
      <c r="F97" s="390"/>
      <c r="G97" s="424"/>
      <c r="H97" s="424"/>
      <c r="I97" s="404"/>
      <c r="J97" s="390"/>
      <c r="K97" s="390"/>
      <c r="L97" s="412"/>
      <c r="M97" s="412">
        <f t="shared" si="4"/>
        <v>40000</v>
      </c>
      <c r="N97" s="405">
        <v>0</v>
      </c>
      <c r="O97" s="405">
        <v>0</v>
      </c>
      <c r="P97" s="405">
        <v>0</v>
      </c>
      <c r="Q97" s="427">
        <v>40000</v>
      </c>
      <c r="R97" s="405">
        <v>0</v>
      </c>
      <c r="S97" s="405">
        <f t="shared" si="7"/>
        <v>40000</v>
      </c>
      <c r="T97" s="405">
        <v>0</v>
      </c>
      <c r="U97" s="405">
        <v>0</v>
      </c>
      <c r="V97" s="405">
        <v>0</v>
      </c>
      <c r="W97" s="405">
        <f t="shared" si="8"/>
        <v>0</v>
      </c>
      <c r="X97" s="405">
        <v>0</v>
      </c>
    </row>
    <row r="98" spans="1:24" s="413" customFormat="1" ht="84">
      <c r="A98" s="409" t="s">
        <v>388</v>
      </c>
      <c r="B98" s="414" t="s">
        <v>45</v>
      </c>
      <c r="C98" s="402" t="s">
        <v>389</v>
      </c>
      <c r="D98" s="402"/>
      <c r="E98" s="403"/>
      <c r="F98" s="402"/>
      <c r="G98" s="404"/>
      <c r="H98" s="404"/>
      <c r="I98" s="402"/>
      <c r="J98" s="402"/>
      <c r="K98" s="402"/>
      <c r="L98" s="405"/>
      <c r="M98" s="412">
        <f t="shared" si="4"/>
        <v>10000</v>
      </c>
      <c r="N98" s="405">
        <v>0</v>
      </c>
      <c r="O98" s="405">
        <v>0</v>
      </c>
      <c r="P98" s="405">
        <v>0</v>
      </c>
      <c r="Q98" s="405">
        <v>10000</v>
      </c>
      <c r="R98" s="405">
        <v>0</v>
      </c>
      <c r="S98" s="405">
        <f t="shared" si="7"/>
        <v>10000</v>
      </c>
      <c r="T98" s="405">
        <v>0</v>
      </c>
      <c r="U98" s="405">
        <v>0</v>
      </c>
      <c r="V98" s="405">
        <v>0</v>
      </c>
      <c r="W98" s="405">
        <f t="shared" si="8"/>
        <v>0</v>
      </c>
      <c r="X98" s="405">
        <v>0</v>
      </c>
    </row>
    <row r="99" spans="1:24" s="438" customFormat="1" ht="42">
      <c r="A99" s="409" t="s">
        <v>390</v>
      </c>
      <c r="B99" s="414" t="s">
        <v>128</v>
      </c>
      <c r="C99" s="402" t="s">
        <v>391</v>
      </c>
      <c r="D99" s="402"/>
      <c r="E99" s="402"/>
      <c r="F99" s="402"/>
      <c r="G99" s="402"/>
      <c r="H99" s="402"/>
      <c r="I99" s="402"/>
      <c r="J99" s="402"/>
      <c r="K99" s="402"/>
      <c r="L99" s="402"/>
      <c r="M99" s="435">
        <f t="shared" si="4"/>
        <v>80000</v>
      </c>
      <c r="N99" s="405">
        <v>0</v>
      </c>
      <c r="O99" s="405">
        <v>0</v>
      </c>
      <c r="P99" s="405">
        <v>0</v>
      </c>
      <c r="Q99" s="411">
        <v>80000</v>
      </c>
      <c r="R99" s="405">
        <v>0</v>
      </c>
      <c r="S99" s="405">
        <f t="shared" si="7"/>
        <v>80000</v>
      </c>
      <c r="T99" s="405">
        <v>0</v>
      </c>
      <c r="U99" s="405">
        <v>0</v>
      </c>
      <c r="V99" s="405">
        <v>0</v>
      </c>
      <c r="W99" s="405">
        <f t="shared" si="8"/>
        <v>0</v>
      </c>
      <c r="X99" s="405">
        <v>0</v>
      </c>
    </row>
    <row r="100" spans="1:24" s="438" customFormat="1" ht="42">
      <c r="A100" s="409" t="s">
        <v>393</v>
      </c>
      <c r="B100" s="414" t="s">
        <v>128</v>
      </c>
      <c r="C100" s="402" t="s">
        <v>394</v>
      </c>
      <c r="D100" s="402"/>
      <c r="E100" s="402"/>
      <c r="F100" s="402"/>
      <c r="G100" s="402"/>
      <c r="H100" s="402"/>
      <c r="I100" s="402"/>
      <c r="J100" s="402"/>
      <c r="K100" s="402"/>
      <c r="L100" s="402"/>
      <c r="M100" s="435">
        <f t="shared" si="4"/>
        <v>27000</v>
      </c>
      <c r="N100" s="405">
        <v>0</v>
      </c>
      <c r="O100" s="405">
        <v>0</v>
      </c>
      <c r="P100" s="405">
        <v>0</v>
      </c>
      <c r="Q100" s="405">
        <v>27000</v>
      </c>
      <c r="R100" s="405">
        <v>0</v>
      </c>
      <c r="S100" s="405">
        <f t="shared" si="7"/>
        <v>27000</v>
      </c>
      <c r="T100" s="405">
        <v>0</v>
      </c>
      <c r="U100" s="405">
        <v>0</v>
      </c>
      <c r="V100" s="405">
        <v>0</v>
      </c>
      <c r="W100" s="405">
        <f t="shared" si="8"/>
        <v>0</v>
      </c>
      <c r="X100" s="405">
        <v>0</v>
      </c>
    </row>
    <row r="101" spans="1:24" s="413" customFormat="1" ht="42.75" customHeight="1">
      <c r="A101" s="409" t="s">
        <v>397</v>
      </c>
      <c r="B101" s="422" t="s">
        <v>55</v>
      </c>
      <c r="C101" s="390" t="s">
        <v>398</v>
      </c>
      <c r="D101" s="390"/>
      <c r="E101" s="429"/>
      <c r="F101" s="390"/>
      <c r="G101" s="424"/>
      <c r="H101" s="424"/>
      <c r="I101" s="428" t="s">
        <v>57</v>
      </c>
      <c r="J101" s="390"/>
      <c r="K101" s="390"/>
      <c r="L101" s="412"/>
      <c r="M101" s="435">
        <f t="shared" si="4"/>
        <v>50000</v>
      </c>
      <c r="N101" s="405">
        <v>0</v>
      </c>
      <c r="O101" s="405">
        <v>0</v>
      </c>
      <c r="P101" s="405">
        <v>0</v>
      </c>
      <c r="Q101" s="427">
        <v>50000</v>
      </c>
      <c r="R101" s="405">
        <v>0</v>
      </c>
      <c r="S101" s="405">
        <f t="shared" si="7"/>
        <v>50000</v>
      </c>
      <c r="T101" s="405">
        <v>0</v>
      </c>
      <c r="U101" s="405">
        <v>0</v>
      </c>
      <c r="V101" s="405">
        <v>0</v>
      </c>
      <c r="W101" s="405">
        <f t="shared" si="8"/>
        <v>0</v>
      </c>
      <c r="X101" s="405">
        <v>0</v>
      </c>
    </row>
    <row r="102" spans="1:24" s="413" customFormat="1" ht="53.25" customHeight="1">
      <c r="A102" s="409" t="s">
        <v>400</v>
      </c>
      <c r="B102" s="436" t="s">
        <v>101</v>
      </c>
      <c r="C102" s="390" t="s">
        <v>401</v>
      </c>
      <c r="D102" s="390"/>
      <c r="E102" s="429"/>
      <c r="F102" s="390"/>
      <c r="G102" s="424"/>
      <c r="H102" s="424"/>
      <c r="I102" s="404" t="s">
        <v>57</v>
      </c>
      <c r="J102" s="390"/>
      <c r="K102" s="390"/>
      <c r="L102" s="412"/>
      <c r="M102" s="435">
        <f t="shared" si="4"/>
        <v>40000</v>
      </c>
      <c r="N102" s="405">
        <v>0</v>
      </c>
      <c r="O102" s="405">
        <v>0</v>
      </c>
      <c r="P102" s="405">
        <v>0</v>
      </c>
      <c r="Q102" s="427">
        <v>40000</v>
      </c>
      <c r="R102" s="405">
        <v>0</v>
      </c>
      <c r="S102" s="405">
        <f t="shared" si="7"/>
        <v>40000</v>
      </c>
      <c r="T102" s="405">
        <v>0</v>
      </c>
      <c r="U102" s="405">
        <v>0</v>
      </c>
      <c r="V102" s="405">
        <v>0</v>
      </c>
      <c r="W102" s="405">
        <f t="shared" si="8"/>
        <v>0</v>
      </c>
      <c r="X102" s="405">
        <v>0</v>
      </c>
    </row>
    <row r="103" spans="1:24" s="413" customFormat="1" ht="52.5" customHeight="1">
      <c r="A103" s="409" t="s">
        <v>403</v>
      </c>
      <c r="B103" s="436" t="s">
        <v>101</v>
      </c>
      <c r="C103" s="390" t="s">
        <v>404</v>
      </c>
      <c r="D103" s="390"/>
      <c r="E103" s="429"/>
      <c r="F103" s="390"/>
      <c r="G103" s="424"/>
      <c r="H103" s="424"/>
      <c r="I103" s="404" t="s">
        <v>57</v>
      </c>
      <c r="J103" s="390"/>
      <c r="K103" s="390"/>
      <c r="L103" s="412"/>
      <c r="M103" s="435">
        <f t="shared" si="4"/>
        <v>10000</v>
      </c>
      <c r="N103" s="405">
        <v>0</v>
      </c>
      <c r="O103" s="405">
        <v>0</v>
      </c>
      <c r="P103" s="405">
        <v>0</v>
      </c>
      <c r="Q103" s="427">
        <v>10000</v>
      </c>
      <c r="R103" s="405">
        <v>0</v>
      </c>
      <c r="S103" s="405">
        <f t="shared" si="7"/>
        <v>10000</v>
      </c>
      <c r="T103" s="405">
        <v>0</v>
      </c>
      <c r="U103" s="405">
        <v>0</v>
      </c>
      <c r="V103" s="405">
        <v>0</v>
      </c>
      <c r="W103" s="405">
        <f t="shared" si="8"/>
        <v>0</v>
      </c>
      <c r="X103" s="405">
        <v>0</v>
      </c>
    </row>
    <row r="104" spans="1:24" s="413" customFormat="1" ht="51.75" customHeight="1">
      <c r="A104" s="409" t="s">
        <v>405</v>
      </c>
      <c r="B104" s="436" t="s">
        <v>101</v>
      </c>
      <c r="C104" s="390" t="s">
        <v>406</v>
      </c>
      <c r="D104" s="390"/>
      <c r="E104" s="429"/>
      <c r="F104" s="390"/>
      <c r="G104" s="424"/>
      <c r="H104" s="424"/>
      <c r="I104" s="404" t="s">
        <v>57</v>
      </c>
      <c r="J104" s="390"/>
      <c r="K104" s="390"/>
      <c r="L104" s="412"/>
      <c r="M104" s="435">
        <f t="shared" si="4"/>
        <v>46500</v>
      </c>
      <c r="N104" s="405">
        <v>0</v>
      </c>
      <c r="O104" s="405">
        <v>0</v>
      </c>
      <c r="P104" s="405">
        <v>0</v>
      </c>
      <c r="Q104" s="427">
        <v>46500</v>
      </c>
      <c r="R104" s="405">
        <v>0</v>
      </c>
      <c r="S104" s="405">
        <f t="shared" si="7"/>
        <v>46500</v>
      </c>
      <c r="T104" s="405">
        <v>0</v>
      </c>
      <c r="U104" s="405">
        <v>0</v>
      </c>
      <c r="V104" s="405">
        <v>0</v>
      </c>
      <c r="W104" s="405">
        <f t="shared" si="8"/>
        <v>0</v>
      </c>
      <c r="X104" s="405">
        <v>0</v>
      </c>
    </row>
    <row r="105" spans="1:24" s="413" customFormat="1" ht="42">
      <c r="A105" s="469" t="s">
        <v>407</v>
      </c>
      <c r="B105" s="431" t="s">
        <v>357</v>
      </c>
      <c r="C105" s="431" t="s">
        <v>408</v>
      </c>
      <c r="D105" s="439"/>
      <c r="E105" s="440"/>
      <c r="F105" s="439"/>
      <c r="G105" s="441"/>
      <c r="H105" s="441"/>
      <c r="I105" s="396"/>
      <c r="J105" s="439"/>
      <c r="K105" s="439"/>
      <c r="L105" s="442"/>
      <c r="M105" s="435">
        <f>M118</f>
        <v>482000</v>
      </c>
      <c r="N105" s="435"/>
      <c r="O105" s="406"/>
      <c r="P105" s="406"/>
      <c r="Q105" s="406"/>
      <c r="R105" s="406"/>
      <c r="S105" s="406"/>
      <c r="T105" s="406"/>
      <c r="U105" s="406"/>
      <c r="V105" s="405"/>
      <c r="W105" s="405"/>
      <c r="X105" s="405"/>
    </row>
    <row r="106" spans="1:24" s="413" customFormat="1" ht="63">
      <c r="A106" s="399" t="s">
        <v>409</v>
      </c>
      <c r="B106" s="390" t="s">
        <v>357</v>
      </c>
      <c r="C106" s="390" t="s">
        <v>410</v>
      </c>
      <c r="D106" s="443"/>
      <c r="E106" s="444"/>
      <c r="F106" s="443"/>
      <c r="G106" s="445"/>
      <c r="H106" s="446"/>
      <c r="I106" s="447"/>
      <c r="J106" s="443"/>
      <c r="K106" s="443"/>
      <c r="L106" s="448"/>
      <c r="M106" s="412">
        <f>M137</f>
        <v>30000</v>
      </c>
      <c r="N106" s="412"/>
      <c r="O106" s="427"/>
      <c r="P106" s="427"/>
      <c r="Q106" s="427"/>
      <c r="R106" s="427"/>
      <c r="S106" s="427"/>
      <c r="T106" s="427"/>
      <c r="U106" s="427"/>
      <c r="V106" s="449"/>
      <c r="W106" s="449"/>
      <c r="X106" s="449"/>
    </row>
    <row r="107" spans="1:24" s="413" customFormat="1" ht="63">
      <c r="A107" s="469" t="s">
        <v>411</v>
      </c>
      <c r="B107" s="390" t="s">
        <v>357</v>
      </c>
      <c r="C107" s="390" t="s">
        <v>412</v>
      </c>
      <c r="D107" s="443"/>
      <c r="E107" s="444"/>
      <c r="F107" s="443"/>
      <c r="G107" s="445"/>
      <c r="H107" s="445"/>
      <c r="I107" s="396"/>
      <c r="J107" s="443"/>
      <c r="K107" s="443"/>
      <c r="L107" s="448"/>
      <c r="M107" s="412">
        <f>M167+M172</f>
        <v>320000</v>
      </c>
      <c r="N107" s="412"/>
      <c r="O107" s="427"/>
      <c r="P107" s="427"/>
      <c r="Q107" s="427"/>
      <c r="R107" s="427"/>
      <c r="S107" s="427"/>
      <c r="T107" s="427"/>
      <c r="U107" s="427"/>
      <c r="V107" s="405"/>
      <c r="W107" s="405"/>
      <c r="X107" s="405"/>
    </row>
    <row r="108" spans="1:24" s="413" customFormat="1" ht="63">
      <c r="A108" s="399" t="s">
        <v>413</v>
      </c>
      <c r="B108" s="390" t="s">
        <v>41</v>
      </c>
      <c r="C108" s="390" t="s">
        <v>414</v>
      </c>
      <c r="D108" s="443"/>
      <c r="E108" s="444"/>
      <c r="F108" s="443"/>
      <c r="G108" s="445"/>
      <c r="H108" s="445"/>
      <c r="I108" s="450"/>
      <c r="J108" s="443"/>
      <c r="K108" s="443"/>
      <c r="L108" s="448"/>
      <c r="M108" s="412">
        <v>420000</v>
      </c>
      <c r="N108" s="412"/>
      <c r="O108" s="427"/>
      <c r="P108" s="427"/>
      <c r="Q108" s="427"/>
      <c r="R108" s="427"/>
      <c r="S108" s="427"/>
      <c r="T108" s="427"/>
      <c r="U108" s="427"/>
      <c r="V108" s="449"/>
      <c r="W108" s="449"/>
      <c r="X108" s="449"/>
    </row>
    <row r="109" spans="1:24" s="263" customFormat="1" ht="31.5">
      <c r="A109" s="258" t="s">
        <v>415</v>
      </c>
      <c r="B109" s="259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350" t="s">
        <v>34</v>
      </c>
      <c r="N109" s="259"/>
      <c r="O109" s="259"/>
      <c r="P109" s="260"/>
      <c r="Q109" s="260"/>
      <c r="R109" s="260"/>
      <c r="S109" s="260"/>
      <c r="T109" s="260"/>
      <c r="U109" s="260"/>
      <c r="V109" s="260"/>
      <c r="W109" s="260"/>
      <c r="X109" s="262"/>
    </row>
    <row r="110" spans="1:24" s="179" customFormat="1" ht="23.25">
      <c r="A110" s="356" t="s">
        <v>416</v>
      </c>
      <c r="B110" s="344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2">
        <f>SUM(M111:M116)</f>
        <v>3806000</v>
      </c>
      <c r="N110" s="357" t="s">
        <v>546</v>
      </c>
      <c r="O110" s="357"/>
      <c r="P110" s="357"/>
      <c r="Q110" s="357"/>
      <c r="R110" s="357"/>
      <c r="S110" s="357"/>
      <c r="T110" s="357"/>
      <c r="U110" s="357"/>
      <c r="V110" s="357"/>
      <c r="W110" s="357"/>
      <c r="X110" s="363"/>
    </row>
    <row r="111" spans="1:24" s="58" customFormat="1" ht="66">
      <c r="A111" s="51" t="s">
        <v>417</v>
      </c>
      <c r="B111" s="451" t="s">
        <v>89</v>
      </c>
      <c r="C111" s="189" t="s">
        <v>418</v>
      </c>
      <c r="D111" s="256"/>
      <c r="E111" s="252"/>
      <c r="F111" s="189"/>
      <c r="G111" s="253"/>
      <c r="H111" s="253"/>
      <c r="I111" s="54"/>
      <c r="J111" s="189"/>
      <c r="K111" s="189"/>
      <c r="L111" s="256"/>
      <c r="M111" s="478">
        <v>1193500</v>
      </c>
      <c r="N111" s="256" t="s">
        <v>34</v>
      </c>
      <c r="O111" s="452"/>
      <c r="P111" s="452"/>
      <c r="Q111" s="452"/>
      <c r="R111" s="452"/>
      <c r="S111" s="452"/>
      <c r="T111" s="452"/>
      <c r="U111" s="452"/>
      <c r="V111" s="55"/>
      <c r="W111" s="55"/>
      <c r="X111" s="55"/>
    </row>
    <row r="112" spans="1:24" s="58" customFormat="1" ht="84">
      <c r="A112" s="181" t="s">
        <v>419</v>
      </c>
      <c r="B112" s="199" t="s">
        <v>45</v>
      </c>
      <c r="C112" s="199" t="s">
        <v>420</v>
      </c>
      <c r="D112" s="202"/>
      <c r="E112" s="200"/>
      <c r="F112" s="199"/>
      <c r="G112" s="201"/>
      <c r="H112" s="201"/>
      <c r="I112" s="54"/>
      <c r="J112" s="199"/>
      <c r="K112" s="199"/>
      <c r="L112" s="202"/>
      <c r="M112" s="479">
        <v>1321100</v>
      </c>
      <c r="N112" s="202"/>
      <c r="O112" s="366"/>
      <c r="P112" s="366"/>
      <c r="Q112" s="366"/>
      <c r="R112" s="366"/>
      <c r="S112" s="366"/>
      <c r="T112" s="366"/>
      <c r="U112" s="366"/>
      <c r="V112" s="55"/>
      <c r="W112" s="55"/>
      <c r="X112" s="55"/>
    </row>
    <row r="113" spans="1:24" s="58" customFormat="1" ht="66">
      <c r="A113" s="51" t="s">
        <v>421</v>
      </c>
      <c r="B113" s="451" t="s">
        <v>89</v>
      </c>
      <c r="C113" s="189" t="s">
        <v>422</v>
      </c>
      <c r="D113" s="256"/>
      <c r="E113" s="252"/>
      <c r="F113" s="189"/>
      <c r="G113" s="253"/>
      <c r="H113" s="253"/>
      <c r="I113" s="54"/>
      <c r="J113" s="189"/>
      <c r="K113" s="189"/>
      <c r="L113" s="256"/>
      <c r="M113" s="478">
        <v>368500</v>
      </c>
      <c r="N113" s="256"/>
      <c r="O113" s="452"/>
      <c r="P113" s="452"/>
      <c r="Q113" s="452"/>
      <c r="R113" s="452"/>
      <c r="S113" s="452"/>
      <c r="T113" s="452"/>
      <c r="U113" s="452"/>
      <c r="V113" s="55"/>
      <c r="W113" s="55"/>
      <c r="X113" s="55"/>
    </row>
    <row r="114" spans="1:24" s="58" customFormat="1" ht="72" customHeight="1">
      <c r="A114" s="51" t="s">
        <v>423</v>
      </c>
      <c r="B114" s="451" t="s">
        <v>89</v>
      </c>
      <c r="C114" s="189" t="s">
        <v>424</v>
      </c>
      <c r="D114" s="256"/>
      <c r="E114" s="252"/>
      <c r="F114" s="189"/>
      <c r="G114" s="253"/>
      <c r="H114" s="253"/>
      <c r="I114" s="54"/>
      <c r="J114" s="189"/>
      <c r="K114" s="189"/>
      <c r="L114" s="256"/>
      <c r="M114" s="478">
        <v>312400</v>
      </c>
      <c r="N114" s="256"/>
      <c r="O114" s="452"/>
      <c r="P114" s="452"/>
      <c r="Q114" s="452"/>
      <c r="R114" s="452"/>
      <c r="S114" s="452"/>
      <c r="T114" s="452"/>
      <c r="U114" s="452"/>
      <c r="V114" s="55"/>
      <c r="W114" s="55"/>
      <c r="X114" s="55"/>
    </row>
    <row r="115" spans="1:24" s="58" customFormat="1" ht="74.25" customHeight="1">
      <c r="A115" s="51" t="s">
        <v>425</v>
      </c>
      <c r="B115" s="451" t="s">
        <v>89</v>
      </c>
      <c r="C115" s="189" t="s">
        <v>426</v>
      </c>
      <c r="D115" s="256"/>
      <c r="E115" s="252"/>
      <c r="F115" s="189"/>
      <c r="G115" s="253"/>
      <c r="H115" s="253"/>
      <c r="I115" s="54"/>
      <c r="J115" s="189"/>
      <c r="K115" s="189"/>
      <c r="L115" s="256"/>
      <c r="M115" s="478">
        <v>336600</v>
      </c>
      <c r="N115" s="256"/>
      <c r="O115" s="452"/>
      <c r="P115" s="452"/>
      <c r="Q115" s="452"/>
      <c r="R115" s="452"/>
      <c r="S115" s="452"/>
      <c r="T115" s="452"/>
      <c r="U115" s="452"/>
      <c r="V115" s="55"/>
      <c r="W115" s="55"/>
      <c r="X115" s="55"/>
    </row>
    <row r="116" spans="1:24" s="58" customFormat="1" ht="72.75" customHeight="1">
      <c r="A116" s="51" t="s">
        <v>427</v>
      </c>
      <c r="B116" s="189" t="s">
        <v>45</v>
      </c>
      <c r="C116" s="189" t="s">
        <v>428</v>
      </c>
      <c r="D116" s="256"/>
      <c r="E116" s="252"/>
      <c r="F116" s="189"/>
      <c r="G116" s="253"/>
      <c r="H116" s="253"/>
      <c r="I116" s="54"/>
      <c r="J116" s="189"/>
      <c r="K116" s="189"/>
      <c r="L116" s="256"/>
      <c r="M116" s="478">
        <v>273900</v>
      </c>
      <c r="N116" s="256"/>
      <c r="O116" s="452"/>
      <c r="P116" s="452"/>
      <c r="Q116" s="452"/>
      <c r="R116" s="452"/>
      <c r="S116" s="452"/>
      <c r="T116" s="452"/>
      <c r="U116" s="452"/>
      <c r="V116" s="55"/>
      <c r="W116" s="55"/>
      <c r="X116" s="55"/>
    </row>
    <row r="117" spans="1:24" s="179" customFormat="1" ht="23.25">
      <c r="A117" s="356" t="s">
        <v>429</v>
      </c>
      <c r="B117" s="176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357">
        <f>M118</f>
        <v>482000</v>
      </c>
      <c r="N117" s="357" t="s">
        <v>546</v>
      </c>
      <c r="O117" s="358"/>
      <c r="P117" s="358"/>
      <c r="Q117" s="358"/>
      <c r="R117" s="358"/>
      <c r="S117" s="358"/>
      <c r="T117" s="358"/>
      <c r="U117" s="358"/>
      <c r="V117" s="358"/>
      <c r="W117" s="358"/>
      <c r="X117" s="359"/>
    </row>
    <row r="118" spans="1:24" s="159" customFormat="1" ht="42.75" customHeight="1">
      <c r="A118" s="265" t="s">
        <v>34</v>
      </c>
      <c r="B118" s="151" t="s">
        <v>357</v>
      </c>
      <c r="C118" s="151" t="s">
        <v>430</v>
      </c>
      <c r="D118" s="151"/>
      <c r="E118" s="152"/>
      <c r="F118" s="151"/>
      <c r="G118" s="153"/>
      <c r="H118" s="153"/>
      <c r="I118" s="154" t="s">
        <v>57</v>
      </c>
      <c r="J118" s="151"/>
      <c r="K118" s="151"/>
      <c r="L118" s="155"/>
      <c r="M118" s="266">
        <f>SUM(M119:M124)</f>
        <v>482000</v>
      </c>
      <c r="N118" s="158" t="s">
        <v>34</v>
      </c>
      <c r="O118" s="158">
        <v>0</v>
      </c>
      <c r="P118" s="158">
        <v>0</v>
      </c>
      <c r="Q118" s="158">
        <v>0</v>
      </c>
      <c r="R118" s="158">
        <v>0</v>
      </c>
      <c r="S118" s="158">
        <f>P118+Q118+R118</f>
        <v>0</v>
      </c>
      <c r="T118" s="158">
        <v>0</v>
      </c>
      <c r="U118" s="158">
        <v>0</v>
      </c>
      <c r="V118" s="158">
        <v>0</v>
      </c>
      <c r="W118" s="158">
        <f>U118+V118</f>
        <v>0</v>
      </c>
      <c r="X118" s="158">
        <v>770000</v>
      </c>
    </row>
    <row r="119" spans="1:24" s="76" customFormat="1" ht="63">
      <c r="A119" s="66" t="s">
        <v>431</v>
      </c>
      <c r="B119" s="68" t="s">
        <v>357</v>
      </c>
      <c r="C119" s="115" t="s">
        <v>432</v>
      </c>
      <c r="D119" s="115"/>
      <c r="E119" s="245"/>
      <c r="F119" s="115"/>
      <c r="G119" s="90"/>
      <c r="H119" s="90"/>
      <c r="I119" s="115"/>
      <c r="J119" s="115"/>
      <c r="K119" s="115"/>
      <c r="L119" s="73"/>
      <c r="M119" s="73">
        <v>100000</v>
      </c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</row>
    <row r="120" spans="1:24" s="76" customFormat="1" ht="63">
      <c r="A120" s="66" t="s">
        <v>433</v>
      </c>
      <c r="B120" s="68" t="s">
        <v>357</v>
      </c>
      <c r="C120" s="115" t="s">
        <v>434</v>
      </c>
      <c r="D120" s="115"/>
      <c r="E120" s="245"/>
      <c r="F120" s="115"/>
      <c r="G120" s="90"/>
      <c r="H120" s="90"/>
      <c r="I120" s="115"/>
      <c r="J120" s="115"/>
      <c r="K120" s="115"/>
      <c r="L120" s="73"/>
      <c r="M120" s="73">
        <v>80000</v>
      </c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</row>
    <row r="121" spans="1:24" s="76" customFormat="1" ht="42">
      <c r="A121" s="114" t="s">
        <v>435</v>
      </c>
      <c r="B121" s="96" t="s">
        <v>357</v>
      </c>
      <c r="C121" s="115" t="s">
        <v>436</v>
      </c>
      <c r="D121" s="115"/>
      <c r="E121" s="245"/>
      <c r="F121" s="115"/>
      <c r="G121" s="90"/>
      <c r="H121" s="90"/>
      <c r="I121" s="115"/>
      <c r="J121" s="115"/>
      <c r="K121" s="115"/>
      <c r="L121" s="73"/>
      <c r="M121" s="73">
        <v>30000</v>
      </c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</row>
    <row r="122" spans="1:24" s="76" customFormat="1" ht="63">
      <c r="A122" s="66" t="s">
        <v>437</v>
      </c>
      <c r="B122" s="68" t="s">
        <v>357</v>
      </c>
      <c r="C122" s="115" t="s">
        <v>438</v>
      </c>
      <c r="D122" s="115"/>
      <c r="E122" s="245"/>
      <c r="F122" s="115"/>
      <c r="G122" s="90"/>
      <c r="H122" s="90"/>
      <c r="I122" s="115"/>
      <c r="J122" s="115"/>
      <c r="K122" s="115"/>
      <c r="L122" s="73"/>
      <c r="M122" s="73">
        <v>5000</v>
      </c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</row>
    <row r="123" spans="1:24" s="76" customFormat="1" ht="42">
      <c r="A123" s="66" t="s">
        <v>596</v>
      </c>
      <c r="B123" s="68" t="s">
        <v>357</v>
      </c>
      <c r="C123" s="115" t="s">
        <v>439</v>
      </c>
      <c r="D123" s="115"/>
      <c r="E123" s="245"/>
      <c r="F123" s="115"/>
      <c r="G123" s="90"/>
      <c r="H123" s="90"/>
      <c r="I123" s="115"/>
      <c r="J123" s="115"/>
      <c r="K123" s="115"/>
      <c r="L123" s="73"/>
      <c r="M123" s="73">
        <v>200000</v>
      </c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</row>
    <row r="124" spans="1:24" s="76" customFormat="1" ht="84">
      <c r="A124" s="66" t="s">
        <v>597</v>
      </c>
      <c r="B124" s="371" t="s">
        <v>357</v>
      </c>
      <c r="C124" s="371" t="s">
        <v>573</v>
      </c>
      <c r="D124" s="371"/>
      <c r="E124" s="371"/>
      <c r="F124" s="371"/>
      <c r="G124" s="372"/>
      <c r="H124" s="372"/>
      <c r="I124" s="196" t="s">
        <v>57</v>
      </c>
      <c r="J124" s="371"/>
      <c r="K124" s="371"/>
      <c r="L124" s="194"/>
      <c r="M124" s="195">
        <v>67000</v>
      </c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</row>
    <row r="125" spans="1:24" s="263" customFormat="1" ht="31.5">
      <c r="A125" s="258" t="s">
        <v>440</v>
      </c>
      <c r="B125" s="259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364" t="s">
        <v>34</v>
      </c>
      <c r="N125" s="259"/>
      <c r="O125" s="259"/>
      <c r="P125" s="260"/>
      <c r="Q125" s="260"/>
      <c r="R125" s="260"/>
      <c r="S125" s="260"/>
      <c r="T125" s="260"/>
      <c r="U125" s="260"/>
      <c r="V125" s="260"/>
      <c r="W125" s="260"/>
      <c r="X125" s="262"/>
    </row>
    <row r="126" spans="1:24" s="179" customFormat="1" ht="23.25">
      <c r="A126" s="356" t="s">
        <v>416</v>
      </c>
      <c r="B126" s="17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357">
        <f>SUM(M127:M136)</f>
        <v>1887700</v>
      </c>
      <c r="N126" s="357" t="s">
        <v>546</v>
      </c>
      <c r="O126" s="358"/>
      <c r="P126" s="358"/>
      <c r="Q126" s="358"/>
      <c r="R126" s="358"/>
      <c r="S126" s="358"/>
      <c r="T126" s="358"/>
      <c r="U126" s="358"/>
      <c r="V126" s="358"/>
      <c r="W126" s="358"/>
      <c r="X126" s="359"/>
    </row>
    <row r="127" spans="1:24" s="58" customFormat="1" ht="63" customHeight="1">
      <c r="A127" s="51" t="s">
        <v>441</v>
      </c>
      <c r="B127" s="189" t="s">
        <v>45</v>
      </c>
      <c r="C127" s="189" t="s">
        <v>442</v>
      </c>
      <c r="D127" s="189" t="s">
        <v>443</v>
      </c>
      <c r="E127" s="189" t="s">
        <v>444</v>
      </c>
      <c r="F127" s="453" t="s">
        <v>445</v>
      </c>
      <c r="G127" s="253"/>
      <c r="H127" s="253"/>
      <c r="I127" s="54" t="s">
        <v>446</v>
      </c>
      <c r="J127" s="257" t="s">
        <v>447</v>
      </c>
      <c r="K127" s="257"/>
      <c r="L127" s="256"/>
      <c r="M127" s="478">
        <v>60000</v>
      </c>
      <c r="N127" s="256"/>
      <c r="O127" s="452"/>
      <c r="P127" s="452"/>
      <c r="Q127" s="452"/>
      <c r="R127" s="452"/>
      <c r="S127" s="452"/>
      <c r="T127" s="452"/>
      <c r="U127" s="452">
        <v>0</v>
      </c>
      <c r="V127" s="55"/>
      <c r="W127" s="55"/>
      <c r="X127" s="55"/>
    </row>
    <row r="128" spans="1:24" s="58" customFormat="1" ht="45" customHeight="1">
      <c r="A128" s="51" t="s">
        <v>448</v>
      </c>
      <c r="B128" s="189" t="s">
        <v>45</v>
      </c>
      <c r="C128" s="199" t="s">
        <v>449</v>
      </c>
      <c r="D128" s="52" t="s">
        <v>450</v>
      </c>
      <c r="E128" s="199" t="s">
        <v>451</v>
      </c>
      <c r="F128" s="454" t="s">
        <v>452</v>
      </c>
      <c r="G128" s="201"/>
      <c r="H128" s="201"/>
      <c r="I128" s="54" t="s">
        <v>453</v>
      </c>
      <c r="J128" s="199"/>
      <c r="K128" s="199"/>
      <c r="L128" s="202"/>
      <c r="M128" s="479">
        <v>259200</v>
      </c>
      <c r="N128" s="202"/>
      <c r="O128" s="366"/>
      <c r="P128" s="366"/>
      <c r="Q128" s="366"/>
      <c r="R128" s="366"/>
      <c r="S128" s="366"/>
      <c r="T128" s="366"/>
      <c r="U128" s="366">
        <v>0</v>
      </c>
      <c r="V128" s="55"/>
      <c r="W128" s="55"/>
      <c r="X128" s="55"/>
    </row>
    <row r="129" spans="1:24" s="58" customFormat="1" ht="42">
      <c r="A129" s="51" t="s">
        <v>454</v>
      </c>
      <c r="B129" s="199" t="s">
        <v>455</v>
      </c>
      <c r="C129" s="199" t="s">
        <v>456</v>
      </c>
      <c r="D129" s="52"/>
      <c r="E129" s="199"/>
      <c r="F129" s="52"/>
      <c r="G129" s="201"/>
      <c r="H129" s="201"/>
      <c r="I129" s="54"/>
      <c r="J129" s="199"/>
      <c r="K129" s="199"/>
      <c r="L129" s="202"/>
      <c r="M129" s="479">
        <v>200000</v>
      </c>
      <c r="N129" s="202"/>
      <c r="O129" s="366"/>
      <c r="P129" s="366"/>
      <c r="Q129" s="366"/>
      <c r="R129" s="366"/>
      <c r="S129" s="366"/>
      <c r="T129" s="366"/>
      <c r="U129" s="366"/>
      <c r="V129" s="55"/>
      <c r="W129" s="55"/>
      <c r="X129" s="55"/>
    </row>
    <row r="130" spans="1:24" s="58" customFormat="1" ht="63">
      <c r="A130" s="51" t="s">
        <v>457</v>
      </c>
      <c r="B130" s="199" t="s">
        <v>81</v>
      </c>
      <c r="C130" s="199" t="s">
        <v>458</v>
      </c>
      <c r="D130" s="52"/>
      <c r="E130" s="199"/>
      <c r="F130" s="52"/>
      <c r="G130" s="201"/>
      <c r="H130" s="201"/>
      <c r="I130" s="54"/>
      <c r="J130" s="199"/>
      <c r="K130" s="199"/>
      <c r="L130" s="202"/>
      <c r="M130" s="366" t="s">
        <v>459</v>
      </c>
      <c r="N130" s="202"/>
      <c r="O130" s="366"/>
      <c r="P130" s="366"/>
      <c r="Q130" s="366"/>
      <c r="R130" s="366"/>
      <c r="S130" s="366"/>
      <c r="T130" s="366"/>
      <c r="U130" s="366"/>
      <c r="V130" s="55"/>
      <c r="W130" s="55"/>
      <c r="X130" s="55"/>
    </row>
    <row r="131" spans="1:24" s="58" customFormat="1" ht="63">
      <c r="A131" s="51" t="s">
        <v>460</v>
      </c>
      <c r="B131" s="199" t="s">
        <v>81</v>
      </c>
      <c r="C131" s="189" t="s">
        <v>461</v>
      </c>
      <c r="D131" s="182"/>
      <c r="E131" s="189"/>
      <c r="F131" s="182"/>
      <c r="G131" s="253"/>
      <c r="H131" s="253"/>
      <c r="I131" s="54"/>
      <c r="J131" s="189"/>
      <c r="K131" s="189"/>
      <c r="L131" s="256"/>
      <c r="M131" s="256">
        <v>0</v>
      </c>
      <c r="N131" s="256"/>
      <c r="O131" s="452"/>
      <c r="P131" s="452"/>
      <c r="Q131" s="452"/>
      <c r="R131" s="452"/>
      <c r="S131" s="452"/>
      <c r="T131" s="452"/>
      <c r="U131" s="452"/>
      <c r="V131" s="55"/>
      <c r="W131" s="55"/>
      <c r="X131" s="55"/>
    </row>
    <row r="132" spans="1:24" s="58" customFormat="1" ht="63">
      <c r="A132" s="51" t="s">
        <v>462</v>
      </c>
      <c r="B132" s="199" t="s">
        <v>81</v>
      </c>
      <c r="C132" s="189" t="s">
        <v>463</v>
      </c>
      <c r="D132" s="182"/>
      <c r="E132" s="189"/>
      <c r="F132" s="182"/>
      <c r="G132" s="253"/>
      <c r="H132" s="253"/>
      <c r="I132" s="54"/>
      <c r="J132" s="189"/>
      <c r="K132" s="189"/>
      <c r="L132" s="256"/>
      <c r="M132" s="478">
        <v>130000</v>
      </c>
      <c r="N132" s="256"/>
      <c r="O132" s="452"/>
      <c r="P132" s="452"/>
      <c r="Q132" s="452"/>
      <c r="R132" s="452"/>
      <c r="S132" s="452"/>
      <c r="T132" s="452"/>
      <c r="U132" s="452"/>
      <c r="V132" s="55"/>
      <c r="W132" s="55"/>
      <c r="X132" s="55"/>
    </row>
    <row r="133" spans="1:24" s="58" customFormat="1" ht="63.75" customHeight="1">
      <c r="A133" s="51" t="s">
        <v>464</v>
      </c>
      <c r="B133" s="199" t="s">
        <v>81</v>
      </c>
      <c r="C133" s="189" t="s">
        <v>571</v>
      </c>
      <c r="D133" s="182"/>
      <c r="E133" s="189"/>
      <c r="F133" s="182"/>
      <c r="G133" s="253"/>
      <c r="H133" s="253"/>
      <c r="I133" s="54"/>
      <c r="J133" s="189"/>
      <c r="K133" s="189"/>
      <c r="L133" s="256"/>
      <c r="M133" s="478">
        <v>134000</v>
      </c>
      <c r="N133" s="256"/>
      <c r="O133" s="452"/>
      <c r="P133" s="452"/>
      <c r="Q133" s="452"/>
      <c r="R133" s="452"/>
      <c r="S133" s="452"/>
      <c r="T133" s="452"/>
      <c r="U133" s="452"/>
      <c r="V133" s="55"/>
      <c r="W133" s="55"/>
      <c r="X133" s="55"/>
    </row>
    <row r="134" spans="1:24" s="58" customFormat="1" ht="68.25" customHeight="1">
      <c r="A134" s="54">
        <v>21</v>
      </c>
      <c r="B134" s="451" t="s">
        <v>89</v>
      </c>
      <c r="C134" s="189" t="s">
        <v>466</v>
      </c>
      <c r="D134" s="360" t="s">
        <v>467</v>
      </c>
      <c r="E134" s="360" t="s">
        <v>468</v>
      </c>
      <c r="F134" s="189" t="s">
        <v>469</v>
      </c>
      <c r="G134" s="253"/>
      <c r="H134" s="253"/>
      <c r="I134" s="54"/>
      <c r="J134" s="189"/>
      <c r="K134" s="189"/>
      <c r="L134" s="256"/>
      <c r="M134" s="64">
        <f>N134+O134+S134+T134+W134+X134</f>
        <v>68500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f>P134+Q134+R134</f>
        <v>0</v>
      </c>
      <c r="T134" s="55">
        <v>0</v>
      </c>
      <c r="U134" s="55">
        <v>0</v>
      </c>
      <c r="V134" s="55">
        <v>0</v>
      </c>
      <c r="W134" s="55">
        <f>U134+V134</f>
        <v>0</v>
      </c>
      <c r="X134" s="256">
        <v>68500</v>
      </c>
    </row>
    <row r="135" spans="1:24" s="58" customFormat="1" ht="66.75" customHeight="1">
      <c r="A135" s="183">
        <v>22</v>
      </c>
      <c r="B135" s="189" t="s">
        <v>357</v>
      </c>
      <c r="C135" s="199" t="s">
        <v>470</v>
      </c>
      <c r="D135" s="182"/>
      <c r="E135" s="252"/>
      <c r="F135" s="182"/>
      <c r="G135" s="253"/>
      <c r="H135" s="253"/>
      <c r="I135" s="54"/>
      <c r="J135" s="189"/>
      <c r="K135" s="189"/>
      <c r="L135" s="256"/>
      <c r="M135" s="64">
        <v>900000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f>P135+Q135+R135</f>
        <v>0</v>
      </c>
      <c r="T135" s="55">
        <v>0</v>
      </c>
      <c r="U135" s="55">
        <v>0</v>
      </c>
      <c r="V135" s="55">
        <v>0</v>
      </c>
      <c r="W135" s="55">
        <f>U135+V135</f>
        <v>0</v>
      </c>
      <c r="X135" s="202">
        <v>900000</v>
      </c>
    </row>
    <row r="136" spans="1:24" s="58" customFormat="1" ht="45" customHeight="1">
      <c r="A136" s="183">
        <v>23</v>
      </c>
      <c r="B136" s="189" t="s">
        <v>357</v>
      </c>
      <c r="C136" s="199" t="s">
        <v>471</v>
      </c>
      <c r="D136" s="182"/>
      <c r="E136" s="252"/>
      <c r="F136" s="182"/>
      <c r="G136" s="253"/>
      <c r="H136" s="253"/>
      <c r="I136" s="54"/>
      <c r="J136" s="189"/>
      <c r="K136" s="189"/>
      <c r="L136" s="256"/>
      <c r="M136" s="64">
        <f>N136+O136+S136+T136+W136+X136</f>
        <v>136000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f>P136+Q136+R136</f>
        <v>0</v>
      </c>
      <c r="T136" s="55">
        <v>0</v>
      </c>
      <c r="U136" s="55">
        <v>0</v>
      </c>
      <c r="V136" s="55">
        <v>0</v>
      </c>
      <c r="W136" s="55">
        <f>U136+V136</f>
        <v>0</v>
      </c>
      <c r="X136" s="202">
        <v>136000</v>
      </c>
    </row>
    <row r="137" spans="1:24" s="179" customFormat="1" ht="23.25">
      <c r="A137" s="356" t="s">
        <v>429</v>
      </c>
      <c r="B137" s="176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357">
        <f>SUM(M139:M141)</f>
        <v>30000</v>
      </c>
      <c r="N137" s="357" t="s">
        <v>546</v>
      </c>
      <c r="O137" s="358"/>
      <c r="P137" s="358"/>
      <c r="Q137" s="358"/>
      <c r="R137" s="358"/>
      <c r="S137" s="358"/>
      <c r="T137" s="358"/>
      <c r="U137" s="358"/>
      <c r="V137" s="358"/>
      <c r="W137" s="358"/>
      <c r="X137" s="359"/>
    </row>
    <row r="138" spans="1:24" s="159" customFormat="1" ht="45" customHeight="1">
      <c r="A138" s="265" t="s">
        <v>34</v>
      </c>
      <c r="B138" s="151" t="s">
        <v>357</v>
      </c>
      <c r="C138" s="151" t="s">
        <v>472</v>
      </c>
      <c r="D138" s="151"/>
      <c r="E138" s="152"/>
      <c r="F138" s="151"/>
      <c r="G138" s="153"/>
      <c r="H138" s="153"/>
      <c r="I138" s="154" t="s">
        <v>57</v>
      </c>
      <c r="J138" s="151"/>
      <c r="K138" s="151"/>
      <c r="L138" s="155"/>
      <c r="M138" s="158">
        <f>SUM(M139:M139)</f>
        <v>30000</v>
      </c>
      <c r="N138" s="158" t="s">
        <v>34</v>
      </c>
      <c r="O138" s="158">
        <v>0</v>
      </c>
      <c r="P138" s="158">
        <v>0</v>
      </c>
      <c r="Q138" s="158">
        <v>0</v>
      </c>
      <c r="R138" s="158">
        <v>0</v>
      </c>
      <c r="S138" s="158">
        <f>P138+Q138+R138</f>
        <v>0</v>
      </c>
      <c r="T138" s="158">
        <v>0</v>
      </c>
      <c r="U138" s="158">
        <v>0</v>
      </c>
      <c r="V138" s="158">
        <v>0</v>
      </c>
      <c r="W138" s="158">
        <f>U138+V138</f>
        <v>0</v>
      </c>
      <c r="X138" s="158">
        <v>770000</v>
      </c>
    </row>
    <row r="139" spans="1:24" s="76" customFormat="1" ht="45" customHeight="1">
      <c r="A139" s="90" t="s">
        <v>473</v>
      </c>
      <c r="B139" s="103" t="s">
        <v>81</v>
      </c>
      <c r="C139" s="68" t="s">
        <v>557</v>
      </c>
      <c r="D139" s="103" t="s">
        <v>475</v>
      </c>
      <c r="E139" s="88" t="s">
        <v>476</v>
      </c>
      <c r="F139" s="68"/>
      <c r="G139" s="89"/>
      <c r="H139" s="89"/>
      <c r="I139" s="90"/>
      <c r="J139" s="68"/>
      <c r="K139" s="68"/>
      <c r="L139" s="74"/>
      <c r="M139" s="170">
        <v>30000</v>
      </c>
      <c r="N139" s="171">
        <v>0</v>
      </c>
      <c r="O139" s="171">
        <v>0</v>
      </c>
      <c r="P139" s="171">
        <v>0</v>
      </c>
      <c r="Q139" s="171">
        <f>SUM(Q140:Q141)</f>
        <v>30000</v>
      </c>
      <c r="R139" s="171">
        <v>0</v>
      </c>
      <c r="S139" s="171">
        <f>P139+Q139+R139</f>
        <v>30000</v>
      </c>
      <c r="T139" s="171">
        <v>0</v>
      </c>
      <c r="U139" s="171">
        <v>0</v>
      </c>
      <c r="V139" s="171">
        <v>0</v>
      </c>
      <c r="W139" s="171">
        <f>U139+V139</f>
        <v>0</v>
      </c>
      <c r="X139" s="171">
        <v>0</v>
      </c>
    </row>
    <row r="140" spans="1:24" s="76" customFormat="1">
      <c r="A140" s="107"/>
      <c r="B140" s="67" t="s">
        <v>34</v>
      </c>
      <c r="C140" s="94" t="s">
        <v>477</v>
      </c>
      <c r="D140" s="103"/>
      <c r="E140" s="88"/>
      <c r="F140" s="68"/>
      <c r="G140" s="89"/>
      <c r="H140" s="89"/>
      <c r="I140" s="90"/>
      <c r="J140" s="68"/>
      <c r="K140" s="68"/>
      <c r="L140" s="74"/>
      <c r="M140" s="73"/>
      <c r="N140" s="73"/>
      <c r="O140" s="73"/>
      <c r="P140" s="73"/>
      <c r="Q140" s="73">
        <v>10000</v>
      </c>
      <c r="R140" s="73"/>
      <c r="S140" s="73"/>
      <c r="T140" s="73"/>
      <c r="U140" s="73"/>
      <c r="V140" s="73"/>
      <c r="W140" s="73"/>
      <c r="X140" s="73"/>
    </row>
    <row r="141" spans="1:24" s="76" customFormat="1" ht="37.5">
      <c r="A141" s="108"/>
      <c r="B141" s="68" t="s">
        <v>34</v>
      </c>
      <c r="C141" s="94" t="s">
        <v>478</v>
      </c>
      <c r="D141" s="103"/>
      <c r="E141" s="88"/>
      <c r="F141" s="68"/>
      <c r="G141" s="89"/>
      <c r="H141" s="89"/>
      <c r="I141" s="90"/>
      <c r="J141" s="68"/>
      <c r="K141" s="68"/>
      <c r="L141" s="74"/>
      <c r="M141" s="73"/>
      <c r="N141" s="73"/>
      <c r="O141" s="73"/>
      <c r="P141" s="73"/>
      <c r="Q141" s="73">
        <v>20000</v>
      </c>
      <c r="R141" s="73"/>
      <c r="S141" s="73"/>
      <c r="T141" s="73"/>
      <c r="U141" s="73"/>
      <c r="V141" s="73"/>
      <c r="W141" s="73"/>
      <c r="X141" s="73"/>
    </row>
    <row r="142" spans="1:24" s="263" customFormat="1" ht="31.5">
      <c r="A142" s="258" t="s">
        <v>479</v>
      </c>
      <c r="B142" s="259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364" t="s">
        <v>34</v>
      </c>
      <c r="N142" s="259"/>
      <c r="O142" s="259"/>
      <c r="P142" s="260"/>
      <c r="Q142" s="260"/>
      <c r="R142" s="260"/>
      <c r="S142" s="260"/>
      <c r="T142" s="260"/>
      <c r="U142" s="260"/>
      <c r="V142" s="260"/>
      <c r="W142" s="260"/>
      <c r="X142" s="262"/>
    </row>
    <row r="143" spans="1:24" s="179" customFormat="1" ht="23.25">
      <c r="A143" s="356" t="s">
        <v>416</v>
      </c>
      <c r="B143" s="176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357">
        <f>SUM(M144:M164)</f>
        <v>480000</v>
      </c>
      <c r="N143" s="357" t="s">
        <v>546</v>
      </c>
      <c r="O143" s="358"/>
      <c r="P143" s="358"/>
      <c r="Q143" s="358"/>
      <c r="R143" s="358"/>
      <c r="S143" s="358"/>
      <c r="T143" s="358"/>
      <c r="U143" s="358"/>
      <c r="V143" s="358"/>
      <c r="W143" s="358"/>
      <c r="X143" s="359"/>
    </row>
    <row r="144" spans="1:24" s="58" customFormat="1" ht="63">
      <c r="A144" s="51" t="s">
        <v>480</v>
      </c>
      <c r="B144" s="199" t="s">
        <v>455</v>
      </c>
      <c r="C144" s="199" t="s">
        <v>481</v>
      </c>
      <c r="D144" s="199"/>
      <c r="E144" s="199"/>
      <c r="F144" s="199"/>
      <c r="G144" s="54"/>
      <c r="H144" s="54"/>
      <c r="I144" s="54"/>
      <c r="J144" s="199"/>
      <c r="K144" s="199"/>
      <c r="L144" s="202"/>
      <c r="M144" s="64">
        <f>N144+O144+S144+T144+W144+X144</f>
        <v>150000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f>P144+Q144+R144</f>
        <v>0</v>
      </c>
      <c r="T144" s="55">
        <v>0</v>
      </c>
      <c r="U144" s="55">
        <v>0</v>
      </c>
      <c r="V144" s="55">
        <v>0</v>
      </c>
      <c r="W144" s="55">
        <f>U144+V144</f>
        <v>0</v>
      </c>
      <c r="X144" s="202">
        <v>150000</v>
      </c>
    </row>
    <row r="145" spans="1:24" s="58" customFormat="1" ht="63">
      <c r="A145" s="51" t="s">
        <v>482</v>
      </c>
      <c r="B145" s="199" t="s">
        <v>455</v>
      </c>
      <c r="C145" s="199" t="s">
        <v>483</v>
      </c>
      <c r="D145" s="199"/>
      <c r="E145" s="199"/>
      <c r="F145" s="199"/>
      <c r="G145" s="54"/>
      <c r="H145" s="54"/>
      <c r="I145" s="54"/>
      <c r="J145" s="199"/>
      <c r="K145" s="199"/>
      <c r="L145" s="202"/>
      <c r="M145" s="64">
        <f>N145+O145+S145+T145+W145+X145</f>
        <v>150000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f>P145+Q145+R145</f>
        <v>0</v>
      </c>
      <c r="T145" s="55">
        <v>0</v>
      </c>
      <c r="U145" s="55">
        <v>0</v>
      </c>
      <c r="V145" s="55">
        <v>0</v>
      </c>
      <c r="W145" s="55">
        <f>U145+V145</f>
        <v>0</v>
      </c>
      <c r="X145" s="202">
        <v>150000</v>
      </c>
    </row>
    <row r="146" spans="1:24" s="58" customFormat="1" ht="42">
      <c r="A146" s="51" t="s">
        <v>484</v>
      </c>
      <c r="B146" s="199" t="s">
        <v>365</v>
      </c>
      <c r="C146" s="52" t="s">
        <v>556</v>
      </c>
      <c r="D146" s="52"/>
      <c r="E146" s="52"/>
      <c r="F146" s="52"/>
      <c r="G146" s="52"/>
      <c r="H146" s="52"/>
      <c r="I146" s="54"/>
      <c r="J146" s="54"/>
      <c r="K146" s="54"/>
      <c r="L146" s="202"/>
      <c r="M146" s="64">
        <v>100000</v>
      </c>
      <c r="N146" s="55">
        <v>0</v>
      </c>
      <c r="O146" s="55">
        <v>0</v>
      </c>
      <c r="P146" s="55">
        <v>0</v>
      </c>
      <c r="Q146" s="55">
        <f>SUM(Q147:Q156)</f>
        <v>100000</v>
      </c>
      <c r="R146" s="55">
        <v>0</v>
      </c>
      <c r="S146" s="55">
        <f>P146+Q146+R146</f>
        <v>100000</v>
      </c>
      <c r="T146" s="55">
        <v>0</v>
      </c>
      <c r="U146" s="55">
        <v>0</v>
      </c>
      <c r="V146" s="55">
        <v>0</v>
      </c>
      <c r="W146" s="55">
        <f>U146+V146</f>
        <v>0</v>
      </c>
      <c r="X146" s="202">
        <v>150000</v>
      </c>
    </row>
    <row r="147" spans="1:24" s="58" customFormat="1" ht="42" hidden="1">
      <c r="A147" s="51"/>
      <c r="B147" s="199" t="s">
        <v>365</v>
      </c>
      <c r="C147" s="455" t="s">
        <v>486</v>
      </c>
      <c r="D147" s="52"/>
      <c r="E147" s="52"/>
      <c r="F147" s="52"/>
      <c r="G147" s="52"/>
      <c r="H147" s="52"/>
      <c r="I147" s="54"/>
      <c r="J147" s="54"/>
      <c r="K147" s="183"/>
      <c r="L147" s="456"/>
      <c r="M147" s="55"/>
      <c r="N147" s="55"/>
      <c r="O147" s="55"/>
      <c r="P147" s="55"/>
      <c r="Q147" s="55">
        <f>3*1200</f>
        <v>3600</v>
      </c>
      <c r="R147" s="55"/>
      <c r="S147" s="55"/>
      <c r="T147" s="55"/>
      <c r="U147" s="55"/>
      <c r="V147" s="55"/>
      <c r="W147" s="55"/>
      <c r="X147" s="456"/>
    </row>
    <row r="148" spans="1:24" s="58" customFormat="1" ht="42" hidden="1">
      <c r="A148" s="51"/>
      <c r="B148" s="199" t="s">
        <v>365</v>
      </c>
      <c r="C148" s="52" t="s">
        <v>487</v>
      </c>
      <c r="D148" s="52"/>
      <c r="E148" s="52"/>
      <c r="F148" s="52"/>
      <c r="G148" s="52"/>
      <c r="H148" s="52"/>
      <c r="I148" s="54"/>
      <c r="J148" s="54"/>
      <c r="K148" s="183"/>
      <c r="L148" s="456"/>
      <c r="M148" s="55"/>
      <c r="N148" s="55"/>
      <c r="O148" s="55"/>
      <c r="P148" s="55"/>
      <c r="Q148" s="55">
        <v>7000</v>
      </c>
      <c r="R148" s="55"/>
      <c r="S148" s="55"/>
      <c r="T148" s="55"/>
      <c r="U148" s="55"/>
      <c r="V148" s="55"/>
      <c r="W148" s="55"/>
      <c r="X148" s="456"/>
    </row>
    <row r="149" spans="1:24" s="58" customFormat="1" ht="42" hidden="1">
      <c r="A149" s="51"/>
      <c r="B149" s="199" t="s">
        <v>365</v>
      </c>
      <c r="C149" s="454" t="s">
        <v>488</v>
      </c>
      <c r="D149" s="52"/>
      <c r="E149" s="52"/>
      <c r="F149" s="52"/>
      <c r="G149" s="52"/>
      <c r="H149" s="52"/>
      <c r="I149" s="54"/>
      <c r="J149" s="54"/>
      <c r="K149" s="183"/>
      <c r="L149" s="456"/>
      <c r="M149" s="55"/>
      <c r="N149" s="55"/>
      <c r="O149" s="55"/>
      <c r="P149" s="55"/>
      <c r="Q149" s="55">
        <f>100*35*1</f>
        <v>3500</v>
      </c>
      <c r="R149" s="55"/>
      <c r="S149" s="55"/>
      <c r="T149" s="55"/>
      <c r="U149" s="55"/>
      <c r="V149" s="55"/>
      <c r="W149" s="55"/>
      <c r="X149" s="456"/>
    </row>
    <row r="150" spans="1:24" s="58" customFormat="1" ht="42" hidden="1">
      <c r="A150" s="51"/>
      <c r="B150" s="199" t="s">
        <v>365</v>
      </c>
      <c r="C150" s="454" t="s">
        <v>489</v>
      </c>
      <c r="D150" s="52"/>
      <c r="E150" s="52"/>
      <c r="F150" s="52"/>
      <c r="G150" s="52"/>
      <c r="H150" s="52"/>
      <c r="I150" s="54"/>
      <c r="J150" s="54"/>
      <c r="K150" s="183"/>
      <c r="L150" s="456"/>
      <c r="M150" s="55"/>
      <c r="N150" s="55"/>
      <c r="O150" s="55"/>
      <c r="P150" s="55"/>
      <c r="Q150" s="55">
        <f>100*80*4</f>
        <v>32000</v>
      </c>
      <c r="R150" s="55"/>
      <c r="S150" s="55"/>
      <c r="T150" s="55"/>
      <c r="U150" s="55"/>
      <c r="V150" s="55"/>
      <c r="W150" s="55"/>
      <c r="X150" s="456"/>
    </row>
    <row r="151" spans="1:24" s="58" customFormat="1" ht="42" hidden="1">
      <c r="A151" s="51"/>
      <c r="B151" s="199" t="s">
        <v>365</v>
      </c>
      <c r="C151" s="52" t="s">
        <v>567</v>
      </c>
      <c r="D151" s="52"/>
      <c r="E151" s="52"/>
      <c r="F151" s="52"/>
      <c r="G151" s="52"/>
      <c r="H151" s="52"/>
      <c r="I151" s="54"/>
      <c r="J151" s="54"/>
      <c r="K151" s="183"/>
      <c r="L151" s="456"/>
      <c r="M151" s="55"/>
      <c r="N151" s="55"/>
      <c r="O151" s="55"/>
      <c r="P151" s="55"/>
      <c r="Q151" s="55">
        <f>300*100*1</f>
        <v>30000</v>
      </c>
      <c r="R151" s="55"/>
      <c r="S151" s="55"/>
      <c r="T151" s="55"/>
      <c r="U151" s="55"/>
      <c r="V151" s="55"/>
      <c r="W151" s="55"/>
      <c r="X151" s="456"/>
    </row>
    <row r="152" spans="1:24" s="58" customFormat="1" ht="42" hidden="1">
      <c r="A152" s="51"/>
      <c r="B152" s="199" t="s">
        <v>365</v>
      </c>
      <c r="C152" s="52" t="s">
        <v>491</v>
      </c>
      <c r="D152" s="52"/>
      <c r="E152" s="52"/>
      <c r="F152" s="52"/>
      <c r="G152" s="52"/>
      <c r="H152" s="52"/>
      <c r="I152" s="54"/>
      <c r="J152" s="54"/>
      <c r="K152" s="183"/>
      <c r="L152" s="456"/>
      <c r="M152" s="55"/>
      <c r="N152" s="55"/>
      <c r="O152" s="55"/>
      <c r="P152" s="55"/>
      <c r="Q152" s="55">
        <v>500</v>
      </c>
      <c r="R152" s="55"/>
      <c r="S152" s="55"/>
      <c r="T152" s="55"/>
      <c r="U152" s="55"/>
      <c r="V152" s="55"/>
      <c r="W152" s="55"/>
      <c r="X152" s="456"/>
    </row>
    <row r="153" spans="1:24" s="58" customFormat="1" ht="42" hidden="1">
      <c r="A153" s="51"/>
      <c r="B153" s="199" t="s">
        <v>365</v>
      </c>
      <c r="C153" s="52" t="s">
        <v>492</v>
      </c>
      <c r="D153" s="52"/>
      <c r="E153" s="52"/>
      <c r="F153" s="52"/>
      <c r="G153" s="52"/>
      <c r="H153" s="52"/>
      <c r="I153" s="54"/>
      <c r="J153" s="54"/>
      <c r="K153" s="183"/>
      <c r="L153" s="456"/>
      <c r="M153" s="55"/>
      <c r="N153" s="55"/>
      <c r="O153" s="55"/>
      <c r="P153" s="55"/>
      <c r="Q153" s="55">
        <f>100*25*1</f>
        <v>2500</v>
      </c>
      <c r="R153" s="55"/>
      <c r="S153" s="55"/>
      <c r="T153" s="55"/>
      <c r="U153" s="55"/>
      <c r="V153" s="55"/>
      <c r="W153" s="55"/>
      <c r="X153" s="456"/>
    </row>
    <row r="154" spans="1:24" s="58" customFormat="1" ht="42" hidden="1">
      <c r="A154" s="51"/>
      <c r="B154" s="199" t="s">
        <v>365</v>
      </c>
      <c r="C154" s="52" t="s">
        <v>493</v>
      </c>
      <c r="D154" s="52"/>
      <c r="E154" s="52"/>
      <c r="F154" s="52"/>
      <c r="G154" s="52"/>
      <c r="H154" s="52"/>
      <c r="I154" s="54"/>
      <c r="J154" s="54"/>
      <c r="K154" s="183"/>
      <c r="L154" s="456"/>
      <c r="M154" s="55"/>
      <c r="N154" s="55"/>
      <c r="O154" s="55"/>
      <c r="P154" s="55"/>
      <c r="Q154" s="55">
        <f>100*35*2</f>
        <v>7000</v>
      </c>
      <c r="R154" s="55"/>
      <c r="S154" s="55"/>
      <c r="T154" s="55"/>
      <c r="U154" s="55"/>
      <c r="V154" s="55"/>
      <c r="W154" s="55"/>
      <c r="X154" s="456"/>
    </row>
    <row r="155" spans="1:24" s="58" customFormat="1" ht="42" hidden="1">
      <c r="A155" s="51"/>
      <c r="B155" s="199" t="s">
        <v>365</v>
      </c>
      <c r="C155" s="52" t="s">
        <v>494</v>
      </c>
      <c r="D155" s="52"/>
      <c r="E155" s="52"/>
      <c r="F155" s="52"/>
      <c r="G155" s="52"/>
      <c r="H155" s="52"/>
      <c r="I155" s="54"/>
      <c r="J155" s="54"/>
      <c r="K155" s="183"/>
      <c r="L155" s="456"/>
      <c r="M155" s="55"/>
      <c r="N155" s="55"/>
      <c r="O155" s="55"/>
      <c r="P155" s="55"/>
      <c r="Q155" s="55">
        <v>10000</v>
      </c>
      <c r="R155" s="55"/>
      <c r="S155" s="55"/>
      <c r="T155" s="55"/>
      <c r="U155" s="55"/>
      <c r="V155" s="55"/>
      <c r="W155" s="55"/>
      <c r="X155" s="456"/>
    </row>
    <row r="156" spans="1:24" s="58" customFormat="1" ht="42" hidden="1">
      <c r="A156" s="51"/>
      <c r="B156" s="199" t="s">
        <v>365</v>
      </c>
      <c r="C156" s="52" t="s">
        <v>78</v>
      </c>
      <c r="D156" s="52"/>
      <c r="E156" s="52"/>
      <c r="F156" s="52"/>
      <c r="G156" s="52"/>
      <c r="H156" s="52"/>
      <c r="I156" s="54"/>
      <c r="J156" s="54"/>
      <c r="K156" s="183"/>
      <c r="L156" s="456"/>
      <c r="M156" s="55"/>
      <c r="N156" s="55"/>
      <c r="O156" s="55"/>
      <c r="P156" s="55"/>
      <c r="Q156" s="55">
        <v>3900</v>
      </c>
      <c r="R156" s="55"/>
      <c r="S156" s="55"/>
      <c r="T156" s="55"/>
      <c r="U156" s="55"/>
      <c r="V156" s="55"/>
      <c r="W156" s="55"/>
      <c r="X156" s="456"/>
    </row>
    <row r="157" spans="1:24" s="58" customFormat="1" ht="42">
      <c r="A157" s="51" t="s">
        <v>495</v>
      </c>
      <c r="B157" s="199" t="s">
        <v>365</v>
      </c>
      <c r="C157" s="52" t="s">
        <v>555</v>
      </c>
      <c r="D157" s="52"/>
      <c r="E157" s="52"/>
      <c r="F157" s="52"/>
      <c r="G157" s="52"/>
      <c r="H157" s="52"/>
      <c r="I157" s="54"/>
      <c r="J157" s="54"/>
      <c r="K157" s="183"/>
      <c r="L157" s="456"/>
      <c r="M157" s="64">
        <v>80000</v>
      </c>
      <c r="N157" s="55">
        <v>0</v>
      </c>
      <c r="O157" s="55">
        <v>0</v>
      </c>
      <c r="P157" s="55">
        <v>0</v>
      </c>
      <c r="Q157" s="55">
        <f>SUM(Q158:Q164)</f>
        <v>80000</v>
      </c>
      <c r="R157" s="55">
        <v>0</v>
      </c>
      <c r="S157" s="55">
        <f>P157+Q157+R157</f>
        <v>80000</v>
      </c>
      <c r="T157" s="55">
        <v>0</v>
      </c>
      <c r="U157" s="55">
        <v>0</v>
      </c>
      <c r="V157" s="55">
        <v>0</v>
      </c>
      <c r="W157" s="55">
        <f>U157+V157</f>
        <v>0</v>
      </c>
      <c r="X157" s="456">
        <v>90000</v>
      </c>
    </row>
    <row r="158" spans="1:24" s="76" customFormat="1" hidden="1">
      <c r="A158" s="66"/>
      <c r="B158" s="322" t="s">
        <v>365</v>
      </c>
      <c r="C158" s="274" t="s">
        <v>497</v>
      </c>
      <c r="D158" s="115"/>
      <c r="E158" s="115"/>
      <c r="F158" s="115"/>
      <c r="G158" s="115"/>
      <c r="H158" s="115"/>
      <c r="I158" s="90"/>
      <c r="J158" s="90"/>
      <c r="K158" s="107"/>
      <c r="L158" s="275"/>
      <c r="M158" s="73"/>
      <c r="N158" s="73"/>
      <c r="O158" s="73"/>
      <c r="P158" s="73"/>
      <c r="Q158" s="73">
        <v>15000</v>
      </c>
      <c r="R158" s="73"/>
      <c r="S158" s="73"/>
      <c r="T158" s="73"/>
      <c r="U158" s="73"/>
      <c r="V158" s="73"/>
      <c r="W158" s="73"/>
      <c r="X158" s="275"/>
    </row>
    <row r="159" spans="1:24" s="76" customFormat="1" hidden="1">
      <c r="A159" s="66"/>
      <c r="B159" s="322" t="s">
        <v>365</v>
      </c>
      <c r="C159" s="248" t="s">
        <v>498</v>
      </c>
      <c r="D159" s="115"/>
      <c r="E159" s="115"/>
      <c r="F159" s="115"/>
      <c r="G159" s="115"/>
      <c r="H159" s="115"/>
      <c r="I159" s="90"/>
      <c r="J159" s="90"/>
      <c r="K159" s="107"/>
      <c r="L159" s="275"/>
      <c r="M159" s="73"/>
      <c r="N159" s="73"/>
      <c r="O159" s="73"/>
      <c r="P159" s="73"/>
      <c r="Q159" s="73">
        <f>200*60*3</f>
        <v>36000</v>
      </c>
      <c r="R159" s="73"/>
      <c r="S159" s="73"/>
      <c r="T159" s="73"/>
      <c r="U159" s="73"/>
      <c r="V159" s="73"/>
      <c r="W159" s="73"/>
      <c r="X159" s="275"/>
    </row>
    <row r="160" spans="1:24" s="76" customFormat="1" hidden="1">
      <c r="A160" s="66"/>
      <c r="B160" s="322" t="s">
        <v>365</v>
      </c>
      <c r="C160" s="248" t="s">
        <v>499</v>
      </c>
      <c r="D160" s="115"/>
      <c r="E160" s="115"/>
      <c r="F160" s="115"/>
      <c r="G160" s="115"/>
      <c r="H160" s="115"/>
      <c r="I160" s="90"/>
      <c r="J160" s="90"/>
      <c r="K160" s="107"/>
      <c r="L160" s="275"/>
      <c r="M160" s="73"/>
      <c r="N160" s="73"/>
      <c r="O160" s="73"/>
      <c r="P160" s="73"/>
      <c r="Q160" s="73">
        <f>200*10*3</f>
        <v>6000</v>
      </c>
      <c r="R160" s="73"/>
      <c r="S160" s="73"/>
      <c r="T160" s="73"/>
      <c r="U160" s="73"/>
      <c r="V160" s="73"/>
      <c r="W160" s="73"/>
      <c r="X160" s="275"/>
    </row>
    <row r="161" spans="1:24" s="76" customFormat="1" hidden="1">
      <c r="A161" s="66"/>
      <c r="B161" s="322" t="s">
        <v>365</v>
      </c>
      <c r="C161" s="274" t="s">
        <v>500</v>
      </c>
      <c r="D161" s="115"/>
      <c r="E161" s="115"/>
      <c r="F161" s="115"/>
      <c r="G161" s="115"/>
      <c r="H161" s="115"/>
      <c r="I161" s="90"/>
      <c r="J161" s="90"/>
      <c r="K161" s="107"/>
      <c r="L161" s="275"/>
      <c r="M161" s="73"/>
      <c r="N161" s="73"/>
      <c r="O161" s="73"/>
      <c r="P161" s="73"/>
      <c r="Q161" s="73">
        <v>2000</v>
      </c>
      <c r="R161" s="73"/>
      <c r="S161" s="73"/>
      <c r="T161" s="73"/>
      <c r="U161" s="73"/>
      <c r="V161" s="73"/>
      <c r="W161" s="73"/>
      <c r="X161" s="275"/>
    </row>
    <row r="162" spans="1:24" s="76" customFormat="1" hidden="1">
      <c r="A162" s="66"/>
      <c r="B162" s="322" t="s">
        <v>365</v>
      </c>
      <c r="C162" s="274" t="s">
        <v>501</v>
      </c>
      <c r="D162" s="115"/>
      <c r="E162" s="115"/>
      <c r="F162" s="115"/>
      <c r="G162" s="115"/>
      <c r="H162" s="115"/>
      <c r="I162" s="90"/>
      <c r="J162" s="90"/>
      <c r="K162" s="107"/>
      <c r="L162" s="275"/>
      <c r="M162" s="73"/>
      <c r="N162" s="73"/>
      <c r="O162" s="73"/>
      <c r="P162" s="73"/>
      <c r="Q162" s="73">
        <f>4000*2*2</f>
        <v>16000</v>
      </c>
      <c r="R162" s="73"/>
      <c r="S162" s="73"/>
      <c r="T162" s="73"/>
      <c r="U162" s="73"/>
      <c r="V162" s="73"/>
      <c r="W162" s="73"/>
      <c r="X162" s="275"/>
    </row>
    <row r="163" spans="1:24" s="76" customFormat="1" hidden="1">
      <c r="A163" s="66"/>
      <c r="B163" s="322" t="s">
        <v>365</v>
      </c>
      <c r="C163" s="248" t="s">
        <v>494</v>
      </c>
      <c r="D163" s="115"/>
      <c r="E163" s="115"/>
      <c r="F163" s="115"/>
      <c r="G163" s="115"/>
      <c r="H163" s="115"/>
      <c r="I163" s="90"/>
      <c r="J163" s="90"/>
      <c r="K163" s="107"/>
      <c r="L163" s="275"/>
      <c r="M163" s="73"/>
      <c r="N163" s="73"/>
      <c r="O163" s="73"/>
      <c r="P163" s="73"/>
      <c r="Q163" s="73">
        <v>4000</v>
      </c>
      <c r="R163" s="73"/>
      <c r="S163" s="73"/>
      <c r="T163" s="73"/>
      <c r="U163" s="73"/>
      <c r="V163" s="73"/>
      <c r="W163" s="73"/>
      <c r="X163" s="275"/>
    </row>
    <row r="164" spans="1:24" s="76" customFormat="1" hidden="1">
      <c r="A164" s="66"/>
      <c r="B164" s="322" t="s">
        <v>365</v>
      </c>
      <c r="C164" s="248" t="s">
        <v>72</v>
      </c>
      <c r="D164" s="115"/>
      <c r="E164" s="115"/>
      <c r="F164" s="115"/>
      <c r="G164" s="115"/>
      <c r="H164" s="115"/>
      <c r="I164" s="90"/>
      <c r="J164" s="90"/>
      <c r="K164" s="107"/>
      <c r="L164" s="275"/>
      <c r="M164" s="73"/>
      <c r="N164" s="73"/>
      <c r="O164" s="73"/>
      <c r="P164" s="73"/>
      <c r="Q164" s="73">
        <v>1000</v>
      </c>
      <c r="R164" s="73"/>
      <c r="S164" s="73"/>
      <c r="T164" s="73"/>
      <c r="U164" s="73"/>
      <c r="V164" s="73"/>
      <c r="W164" s="73"/>
      <c r="X164" s="275"/>
    </row>
    <row r="165" spans="1:24" s="179" customFormat="1" ht="23.25">
      <c r="A165" s="356" t="s">
        <v>429</v>
      </c>
      <c r="B165" s="176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357">
        <f>SUM(M167:M183)</f>
        <v>320000</v>
      </c>
      <c r="N165" s="357" t="s">
        <v>546</v>
      </c>
      <c r="O165" s="358"/>
      <c r="P165" s="358"/>
      <c r="Q165" s="358"/>
      <c r="R165" s="358"/>
      <c r="S165" s="358"/>
      <c r="T165" s="358"/>
      <c r="U165" s="358"/>
      <c r="V165" s="358"/>
      <c r="W165" s="358"/>
      <c r="X165" s="359"/>
    </row>
    <row r="166" spans="1:24" s="159" customFormat="1" ht="42" customHeight="1">
      <c r="A166" s="265" t="s">
        <v>34</v>
      </c>
      <c r="B166" s="151" t="s">
        <v>357</v>
      </c>
      <c r="C166" s="151" t="s">
        <v>552</v>
      </c>
      <c r="D166" s="151"/>
      <c r="E166" s="152"/>
      <c r="F166" s="151"/>
      <c r="G166" s="153"/>
      <c r="H166" s="153"/>
      <c r="I166" s="154" t="s">
        <v>57</v>
      </c>
      <c r="J166" s="151"/>
      <c r="K166" s="151"/>
      <c r="L166" s="155"/>
      <c r="M166" s="158">
        <f>SUM(M167:M172)</f>
        <v>320000</v>
      </c>
      <c r="N166" s="158" t="s">
        <v>34</v>
      </c>
      <c r="O166" s="158">
        <v>0</v>
      </c>
      <c r="P166" s="158">
        <v>0</v>
      </c>
      <c r="Q166" s="158">
        <v>0</v>
      </c>
      <c r="R166" s="158">
        <v>0</v>
      </c>
      <c r="S166" s="158">
        <f>P166+Q166+R166</f>
        <v>0</v>
      </c>
      <c r="T166" s="158">
        <v>0</v>
      </c>
      <c r="U166" s="158">
        <v>0</v>
      </c>
      <c r="V166" s="158">
        <v>0</v>
      </c>
      <c r="W166" s="158">
        <f>U166+V166</f>
        <v>0</v>
      </c>
      <c r="X166" s="158">
        <v>770000</v>
      </c>
    </row>
    <row r="167" spans="1:24" s="76" customFormat="1" ht="42">
      <c r="A167" s="66" t="s">
        <v>431</v>
      </c>
      <c r="B167" s="68" t="s">
        <v>181</v>
      </c>
      <c r="C167" s="68" t="s">
        <v>553</v>
      </c>
      <c r="D167" s="68"/>
      <c r="E167" s="88"/>
      <c r="F167" s="68"/>
      <c r="G167" s="89"/>
      <c r="H167" s="89"/>
      <c r="I167" s="90"/>
      <c r="J167" s="68"/>
      <c r="K167" s="68"/>
      <c r="L167" s="74"/>
      <c r="M167" s="74">
        <f>Q167</f>
        <v>20000</v>
      </c>
      <c r="N167" s="74"/>
      <c r="O167" s="75"/>
      <c r="P167" s="75"/>
      <c r="Q167" s="75">
        <f>SUM(Q168:Q171)</f>
        <v>20000</v>
      </c>
      <c r="R167" s="75"/>
      <c r="S167" s="75"/>
      <c r="T167" s="75"/>
      <c r="U167" s="75"/>
      <c r="V167" s="73"/>
      <c r="W167" s="73"/>
      <c r="X167" s="73"/>
    </row>
    <row r="168" spans="1:24" s="76" customFormat="1" hidden="1">
      <c r="A168" s="66"/>
      <c r="B168" s="323" t="s">
        <v>181</v>
      </c>
      <c r="C168" s="278" t="s">
        <v>504</v>
      </c>
      <c r="D168" s="68"/>
      <c r="E168" s="88"/>
      <c r="F168" s="68"/>
      <c r="G168" s="89"/>
      <c r="H168" s="89"/>
      <c r="I168" s="90"/>
      <c r="J168" s="68"/>
      <c r="K168" s="68"/>
      <c r="L168" s="74"/>
      <c r="M168" s="74"/>
      <c r="N168" s="74"/>
      <c r="O168" s="75"/>
      <c r="P168" s="75"/>
      <c r="Q168" s="75">
        <f>2*1000</f>
        <v>2000</v>
      </c>
      <c r="R168" s="75"/>
      <c r="S168" s="75"/>
      <c r="T168" s="75"/>
      <c r="U168" s="75"/>
      <c r="V168" s="73"/>
      <c r="W168" s="73"/>
      <c r="X168" s="73"/>
    </row>
    <row r="169" spans="1:24" s="76" customFormat="1" hidden="1">
      <c r="A169" s="66"/>
      <c r="B169" s="323" t="s">
        <v>181</v>
      </c>
      <c r="C169" s="94" t="s">
        <v>505</v>
      </c>
      <c r="D169" s="68"/>
      <c r="E169" s="88"/>
      <c r="F169" s="68"/>
      <c r="G169" s="89"/>
      <c r="H169" s="89"/>
      <c r="I169" s="90"/>
      <c r="J169" s="68"/>
      <c r="K169" s="68"/>
      <c r="L169" s="74"/>
      <c r="M169" s="74"/>
      <c r="N169" s="74"/>
      <c r="O169" s="75"/>
      <c r="P169" s="75"/>
      <c r="Q169" s="75">
        <v>3000</v>
      </c>
      <c r="R169" s="75"/>
      <c r="S169" s="75"/>
      <c r="T169" s="75"/>
      <c r="U169" s="75"/>
      <c r="V169" s="73"/>
      <c r="W169" s="73"/>
      <c r="X169" s="73"/>
    </row>
    <row r="170" spans="1:24" s="76" customFormat="1" hidden="1">
      <c r="A170" s="66"/>
      <c r="B170" s="323" t="s">
        <v>181</v>
      </c>
      <c r="C170" s="94" t="s">
        <v>506</v>
      </c>
      <c r="D170" s="68"/>
      <c r="E170" s="88"/>
      <c r="F170" s="68"/>
      <c r="G170" s="89"/>
      <c r="H170" s="89"/>
      <c r="I170" s="90"/>
      <c r="J170" s="68"/>
      <c r="K170" s="68"/>
      <c r="L170" s="74"/>
      <c r="M170" s="74"/>
      <c r="N170" s="74"/>
      <c r="O170" s="75"/>
      <c r="P170" s="75"/>
      <c r="Q170" s="75">
        <f>10000</f>
        <v>10000</v>
      </c>
      <c r="R170" s="75"/>
      <c r="S170" s="75"/>
      <c r="T170" s="75"/>
      <c r="U170" s="75"/>
      <c r="V170" s="73"/>
      <c r="W170" s="73"/>
      <c r="X170" s="73"/>
    </row>
    <row r="171" spans="1:24" s="76" customFormat="1" hidden="1">
      <c r="A171" s="66"/>
      <c r="B171" s="323" t="s">
        <v>181</v>
      </c>
      <c r="C171" s="94" t="s">
        <v>507</v>
      </c>
      <c r="D171" s="68"/>
      <c r="E171" s="88"/>
      <c r="F171" s="68"/>
      <c r="G171" s="89"/>
      <c r="H171" s="89"/>
      <c r="I171" s="90"/>
      <c r="J171" s="68"/>
      <c r="K171" s="68"/>
      <c r="L171" s="74"/>
      <c r="M171" s="74"/>
      <c r="N171" s="74"/>
      <c r="O171" s="75"/>
      <c r="P171" s="75"/>
      <c r="Q171" s="75">
        <v>5000</v>
      </c>
      <c r="R171" s="75"/>
      <c r="S171" s="75"/>
      <c r="T171" s="75"/>
      <c r="U171" s="75"/>
      <c r="V171" s="73"/>
      <c r="W171" s="73"/>
      <c r="X171" s="73"/>
    </row>
    <row r="172" spans="1:24" s="76" customFormat="1">
      <c r="A172" s="114" t="s">
        <v>433</v>
      </c>
      <c r="B172" s="103" t="s">
        <v>106</v>
      </c>
      <c r="C172" s="68" t="s">
        <v>554</v>
      </c>
      <c r="D172" s="68"/>
      <c r="E172" s="88"/>
      <c r="F172" s="68"/>
      <c r="G172" s="89"/>
      <c r="H172" s="89"/>
      <c r="I172" s="90"/>
      <c r="J172" s="68"/>
      <c r="K172" s="68"/>
      <c r="L172" s="74"/>
      <c r="M172" s="74">
        <v>300000</v>
      </c>
      <c r="N172" s="74"/>
      <c r="O172" s="75"/>
      <c r="P172" s="75"/>
      <c r="Q172" s="75">
        <v>300000</v>
      </c>
      <c r="R172" s="75"/>
      <c r="S172" s="75"/>
      <c r="T172" s="75"/>
      <c r="U172" s="75"/>
      <c r="V172" s="73"/>
      <c r="W172" s="73"/>
      <c r="X172" s="73"/>
    </row>
    <row r="173" spans="1:24" s="76" customFormat="1" hidden="1">
      <c r="A173" s="66"/>
      <c r="B173" s="103" t="s">
        <v>106</v>
      </c>
      <c r="C173" s="68" t="s">
        <v>509</v>
      </c>
      <c r="D173" s="68"/>
      <c r="E173" s="88"/>
      <c r="F173" s="68"/>
      <c r="G173" s="89"/>
      <c r="H173" s="89"/>
      <c r="I173" s="90"/>
      <c r="J173" s="68"/>
      <c r="K173" s="68"/>
      <c r="L173" s="74"/>
      <c r="M173" s="74"/>
      <c r="N173" s="74"/>
      <c r="O173" s="75"/>
      <c r="P173" s="75"/>
      <c r="Q173" s="75">
        <v>5000</v>
      </c>
      <c r="R173" s="75"/>
      <c r="S173" s="75"/>
      <c r="T173" s="75"/>
      <c r="U173" s="75"/>
      <c r="V173" s="73"/>
      <c r="W173" s="73"/>
      <c r="X173" s="73"/>
    </row>
    <row r="174" spans="1:24" s="76" customFormat="1" ht="42" hidden="1">
      <c r="A174" s="66"/>
      <c r="B174" s="103" t="s">
        <v>106</v>
      </c>
      <c r="C174" s="68" t="s">
        <v>510</v>
      </c>
      <c r="D174" s="68"/>
      <c r="E174" s="88"/>
      <c r="F174" s="68"/>
      <c r="G174" s="89"/>
      <c r="H174" s="89"/>
      <c r="I174" s="90"/>
      <c r="J174" s="68"/>
      <c r="K174" s="68"/>
      <c r="L174" s="74"/>
      <c r="M174" s="74"/>
      <c r="N174" s="74"/>
      <c r="O174" s="75"/>
      <c r="P174" s="75"/>
      <c r="Q174" s="75">
        <f>3000*5</f>
        <v>15000</v>
      </c>
      <c r="R174" s="75"/>
      <c r="S174" s="75"/>
      <c r="T174" s="75"/>
      <c r="U174" s="75"/>
      <c r="V174" s="73"/>
      <c r="W174" s="73"/>
      <c r="X174" s="73"/>
    </row>
    <row r="175" spans="1:24" s="76" customFormat="1" ht="42" hidden="1">
      <c r="A175" s="66"/>
      <c r="B175" s="103" t="s">
        <v>106</v>
      </c>
      <c r="C175" s="68" t="s">
        <v>511</v>
      </c>
      <c r="D175" s="68"/>
      <c r="E175" s="88"/>
      <c r="F175" s="68"/>
      <c r="G175" s="89"/>
      <c r="H175" s="89"/>
      <c r="I175" s="90"/>
      <c r="J175" s="68"/>
      <c r="K175" s="68"/>
      <c r="L175" s="74"/>
      <c r="M175" s="74"/>
      <c r="N175" s="74"/>
      <c r="O175" s="75"/>
      <c r="P175" s="75"/>
      <c r="Q175" s="75">
        <f>15000*12</f>
        <v>180000</v>
      </c>
      <c r="R175" s="75"/>
      <c r="S175" s="75"/>
      <c r="T175" s="75"/>
      <c r="U175" s="75"/>
      <c r="V175" s="73"/>
      <c r="W175" s="73"/>
      <c r="X175" s="73"/>
    </row>
    <row r="176" spans="1:24" s="76" customFormat="1" ht="42" hidden="1">
      <c r="A176" s="66"/>
      <c r="B176" s="103" t="s">
        <v>106</v>
      </c>
      <c r="C176" s="68" t="s">
        <v>512</v>
      </c>
      <c r="D176" s="68"/>
      <c r="E176" s="88"/>
      <c r="F176" s="68"/>
      <c r="G176" s="89"/>
      <c r="H176" s="89"/>
      <c r="I176" s="90"/>
      <c r="J176" s="68"/>
      <c r="K176" s="68"/>
      <c r="L176" s="74"/>
      <c r="M176" s="74"/>
      <c r="N176" s="74"/>
      <c r="O176" s="75"/>
      <c r="P176" s="75"/>
      <c r="Q176" s="75">
        <v>0</v>
      </c>
      <c r="R176" s="75"/>
      <c r="S176" s="75"/>
      <c r="T176" s="75"/>
      <c r="U176" s="75"/>
      <c r="V176" s="73"/>
      <c r="W176" s="73"/>
      <c r="X176" s="73"/>
    </row>
    <row r="177" spans="1:24" s="76" customFormat="1" hidden="1">
      <c r="A177" s="66"/>
      <c r="B177" s="103" t="s">
        <v>106</v>
      </c>
      <c r="C177" s="68" t="s">
        <v>513</v>
      </c>
      <c r="D177" s="68"/>
      <c r="E177" s="88"/>
      <c r="F177" s="68"/>
      <c r="G177" s="89"/>
      <c r="H177" s="89"/>
      <c r="I177" s="90"/>
      <c r="J177" s="68"/>
      <c r="K177" s="68"/>
      <c r="L177" s="74"/>
      <c r="M177" s="74"/>
      <c r="N177" s="74"/>
      <c r="O177" s="75"/>
      <c r="P177" s="75"/>
      <c r="Q177" s="75">
        <v>60000</v>
      </c>
      <c r="R177" s="75"/>
      <c r="S177" s="75"/>
      <c r="T177" s="75"/>
      <c r="U177" s="75"/>
      <c r="V177" s="73"/>
      <c r="W177" s="73"/>
      <c r="X177" s="73"/>
    </row>
    <row r="178" spans="1:24" s="76" customFormat="1" hidden="1">
      <c r="A178" s="66"/>
      <c r="B178" s="103" t="s">
        <v>106</v>
      </c>
      <c r="C178" s="68" t="s">
        <v>514</v>
      </c>
      <c r="D178" s="68"/>
      <c r="E178" s="88"/>
      <c r="F178" s="68"/>
      <c r="G178" s="89"/>
      <c r="H178" s="89"/>
      <c r="I178" s="90"/>
      <c r="J178" s="68"/>
      <c r="K178" s="68"/>
      <c r="L178" s="74"/>
      <c r="M178" s="74"/>
      <c r="N178" s="74"/>
      <c r="O178" s="75"/>
      <c r="P178" s="75"/>
      <c r="Q178" s="75">
        <v>50000</v>
      </c>
      <c r="R178" s="75"/>
      <c r="S178" s="75"/>
      <c r="T178" s="75"/>
      <c r="U178" s="75"/>
      <c r="V178" s="73"/>
      <c r="W178" s="73"/>
      <c r="X178" s="73"/>
    </row>
    <row r="179" spans="1:24" s="76" customFormat="1" hidden="1">
      <c r="A179" s="66"/>
      <c r="B179" s="103" t="s">
        <v>106</v>
      </c>
      <c r="C179" s="68" t="s">
        <v>76</v>
      </c>
      <c r="D179" s="68"/>
      <c r="E179" s="88"/>
      <c r="F179" s="68"/>
      <c r="G179" s="89"/>
      <c r="H179" s="89"/>
      <c r="I179" s="90"/>
      <c r="J179" s="68"/>
      <c r="K179" s="68"/>
      <c r="L179" s="74"/>
      <c r="M179" s="74"/>
      <c r="N179" s="74"/>
      <c r="O179" s="75"/>
      <c r="P179" s="75"/>
      <c r="Q179" s="75">
        <v>10000</v>
      </c>
      <c r="R179" s="75"/>
      <c r="S179" s="75"/>
      <c r="T179" s="75"/>
      <c r="U179" s="75"/>
      <c r="V179" s="73"/>
      <c r="W179" s="73"/>
      <c r="X179" s="73"/>
    </row>
    <row r="180" spans="1:24" s="76" customFormat="1" hidden="1">
      <c r="A180" s="66"/>
      <c r="B180" s="103" t="s">
        <v>106</v>
      </c>
      <c r="C180" s="68" t="s">
        <v>515</v>
      </c>
      <c r="D180" s="68"/>
      <c r="E180" s="88"/>
      <c r="F180" s="68"/>
      <c r="G180" s="89"/>
      <c r="H180" s="89"/>
      <c r="I180" s="90"/>
      <c r="J180" s="68"/>
      <c r="K180" s="68"/>
      <c r="L180" s="74"/>
      <c r="M180" s="74"/>
      <c r="N180" s="74"/>
      <c r="O180" s="75"/>
      <c r="P180" s="75"/>
      <c r="Q180" s="75">
        <v>30000</v>
      </c>
      <c r="R180" s="75"/>
      <c r="S180" s="75"/>
      <c r="T180" s="75"/>
      <c r="U180" s="75"/>
      <c r="V180" s="73"/>
      <c r="W180" s="73"/>
      <c r="X180" s="73"/>
    </row>
    <row r="181" spans="1:24" s="76" customFormat="1" hidden="1">
      <c r="A181" s="66"/>
      <c r="B181" s="103" t="s">
        <v>106</v>
      </c>
      <c r="C181" s="68" t="s">
        <v>78</v>
      </c>
      <c r="D181" s="68"/>
      <c r="E181" s="88"/>
      <c r="F181" s="68"/>
      <c r="G181" s="89"/>
      <c r="H181" s="89"/>
      <c r="I181" s="90"/>
      <c r="J181" s="68"/>
      <c r="K181" s="68"/>
      <c r="L181" s="74"/>
      <c r="M181" s="74"/>
      <c r="N181" s="74"/>
      <c r="O181" s="75"/>
      <c r="P181" s="75"/>
      <c r="Q181" s="75">
        <v>0</v>
      </c>
      <c r="R181" s="75"/>
      <c r="S181" s="75"/>
      <c r="T181" s="75"/>
      <c r="U181" s="75"/>
      <c r="V181" s="73"/>
      <c r="W181" s="73"/>
      <c r="X181" s="73"/>
    </row>
    <row r="182" spans="1:24" s="76" customFormat="1" hidden="1">
      <c r="A182" s="66"/>
      <c r="B182" s="103" t="s">
        <v>106</v>
      </c>
      <c r="C182" s="68" t="s">
        <v>516</v>
      </c>
      <c r="D182" s="68"/>
      <c r="E182" s="88"/>
      <c r="F182" s="68"/>
      <c r="G182" s="89"/>
      <c r="H182" s="89"/>
      <c r="I182" s="90"/>
      <c r="J182" s="68"/>
      <c r="K182" s="68"/>
      <c r="L182" s="74"/>
      <c r="M182" s="74"/>
      <c r="N182" s="74"/>
      <c r="O182" s="75"/>
      <c r="P182" s="75"/>
      <c r="Q182" s="75">
        <v>50000</v>
      </c>
      <c r="R182" s="75"/>
      <c r="S182" s="75"/>
      <c r="T182" s="75"/>
      <c r="U182" s="75"/>
      <c r="V182" s="73"/>
      <c r="W182" s="73"/>
      <c r="X182" s="73"/>
    </row>
    <row r="183" spans="1:24" s="172" customFormat="1" hidden="1">
      <c r="A183" s="279"/>
      <c r="B183" s="166"/>
      <c r="C183" s="166"/>
      <c r="D183" s="166"/>
      <c r="E183" s="167"/>
      <c r="F183" s="166"/>
      <c r="G183" s="168"/>
      <c r="H183" s="168"/>
      <c r="I183" s="169"/>
      <c r="J183" s="166"/>
      <c r="K183" s="166"/>
      <c r="L183" s="170"/>
      <c r="M183" s="170"/>
      <c r="N183" s="170"/>
      <c r="O183" s="184"/>
      <c r="P183" s="184"/>
      <c r="Q183" s="184"/>
      <c r="R183" s="184"/>
      <c r="S183" s="184"/>
      <c r="T183" s="184"/>
      <c r="U183" s="184"/>
      <c r="V183" s="171"/>
      <c r="W183" s="171"/>
      <c r="X183" s="171"/>
    </row>
    <row r="184" spans="1:24" s="263" customFormat="1" ht="31.5">
      <c r="A184" s="258" t="s">
        <v>598</v>
      </c>
      <c r="B184" s="259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364" t="s">
        <v>34</v>
      </c>
      <c r="N184" s="259"/>
      <c r="O184" s="259"/>
      <c r="P184" s="260"/>
      <c r="Q184" s="260"/>
      <c r="R184" s="260"/>
      <c r="S184" s="260"/>
      <c r="T184" s="260"/>
      <c r="U184" s="260"/>
      <c r="V184" s="260"/>
      <c r="W184" s="260"/>
      <c r="X184" s="262"/>
    </row>
    <row r="185" spans="1:24" s="179" customFormat="1" ht="23.25">
      <c r="A185" s="356" t="s">
        <v>599</v>
      </c>
      <c r="B185" s="176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357">
        <f>SUM(M186:M187)</f>
        <v>1480000</v>
      </c>
      <c r="N185" s="357" t="s">
        <v>546</v>
      </c>
      <c r="O185" s="358"/>
      <c r="P185" s="358"/>
      <c r="Q185" s="358"/>
      <c r="R185" s="358"/>
      <c r="S185" s="358"/>
      <c r="T185" s="358"/>
      <c r="U185" s="358"/>
      <c r="V185" s="358"/>
      <c r="W185" s="358"/>
      <c r="X185" s="359"/>
    </row>
    <row r="186" spans="1:24" s="413" customFormat="1" ht="91.5" customHeight="1">
      <c r="A186" s="409" t="s">
        <v>407</v>
      </c>
      <c r="B186" s="491" t="s">
        <v>577</v>
      </c>
      <c r="C186" s="276" t="s">
        <v>594</v>
      </c>
      <c r="D186" s="276"/>
      <c r="E186" s="276"/>
      <c r="F186" s="276"/>
      <c r="G186" s="276"/>
      <c r="H186" s="276"/>
      <c r="I186" s="276"/>
      <c r="J186" s="276"/>
      <c r="K186" s="276"/>
      <c r="L186" s="276"/>
      <c r="M186" s="435">
        <f>N186+O186+S186+T186+W186+X186</f>
        <v>980000</v>
      </c>
      <c r="N186" s="405">
        <v>0</v>
      </c>
      <c r="O186" s="405">
        <v>0</v>
      </c>
      <c r="P186" s="405">
        <v>0</v>
      </c>
      <c r="Q186" s="427">
        <v>0</v>
      </c>
      <c r="R186" s="405">
        <v>0</v>
      </c>
      <c r="S186" s="405">
        <v>0</v>
      </c>
      <c r="T186" s="405">
        <v>0</v>
      </c>
      <c r="U186" s="171">
        <v>980000</v>
      </c>
      <c r="V186" s="405">
        <v>0</v>
      </c>
      <c r="W186" s="405">
        <f>U186+V186</f>
        <v>980000</v>
      </c>
      <c r="X186" s="405">
        <v>0</v>
      </c>
    </row>
    <row r="187" spans="1:24" s="413" customFormat="1" ht="64.5" customHeight="1">
      <c r="A187" s="469" t="s">
        <v>409</v>
      </c>
      <c r="B187" s="491" t="s">
        <v>577</v>
      </c>
      <c r="C187" s="276" t="s">
        <v>595</v>
      </c>
      <c r="D187" s="276"/>
      <c r="E187" s="276"/>
      <c r="F187" s="276"/>
      <c r="G187" s="276"/>
      <c r="H187" s="276"/>
      <c r="I187" s="276"/>
      <c r="J187" s="276"/>
      <c r="K187" s="276"/>
      <c r="L187" s="276"/>
      <c r="M187" s="171">
        <v>500000</v>
      </c>
      <c r="N187" s="405">
        <v>0</v>
      </c>
      <c r="O187" s="405">
        <v>0</v>
      </c>
      <c r="P187" s="405">
        <v>0</v>
      </c>
      <c r="Q187" s="427">
        <v>0</v>
      </c>
      <c r="R187" s="405">
        <v>0</v>
      </c>
      <c r="S187" s="405">
        <v>0</v>
      </c>
      <c r="T187" s="405">
        <v>0</v>
      </c>
      <c r="U187" s="171">
        <v>0</v>
      </c>
      <c r="V187" s="171">
        <v>500000</v>
      </c>
      <c r="W187" s="405">
        <f>U187+V187</f>
        <v>500000</v>
      </c>
      <c r="X187" s="405">
        <v>0</v>
      </c>
    </row>
    <row r="188" spans="1:24" s="172" customFormat="1">
      <c r="A188" s="337"/>
      <c r="B188" s="338"/>
      <c r="C188" s="338"/>
      <c r="D188" s="338"/>
      <c r="E188" s="338"/>
      <c r="F188" s="338"/>
      <c r="G188" s="339"/>
      <c r="H188" s="339"/>
      <c r="I188" s="340"/>
      <c r="J188" s="338"/>
      <c r="K188" s="338"/>
      <c r="L188" s="341"/>
      <c r="M188" s="341"/>
      <c r="N188" s="341"/>
      <c r="O188" s="342"/>
      <c r="P188" s="342"/>
      <c r="Q188" s="342"/>
      <c r="R188" s="342"/>
      <c r="S188" s="342"/>
      <c r="T188" s="342"/>
      <c r="U188" s="342"/>
      <c r="V188" s="343"/>
      <c r="W188" s="343"/>
      <c r="X188" s="343"/>
    </row>
    <row r="189" spans="1:24" s="172" customFormat="1">
      <c r="A189" s="337"/>
      <c r="B189" s="338"/>
      <c r="C189" s="338"/>
      <c r="D189" s="338"/>
      <c r="E189" s="338"/>
      <c r="F189" s="338"/>
      <c r="G189" s="339"/>
      <c r="H189" s="339"/>
      <c r="I189" s="340"/>
      <c r="J189" s="338"/>
      <c r="K189" s="338"/>
      <c r="L189" s="341"/>
      <c r="M189" s="341"/>
      <c r="N189" s="341"/>
      <c r="O189" s="342"/>
      <c r="P189" s="342"/>
      <c r="Q189" s="342"/>
      <c r="R189" s="342"/>
      <c r="S189" s="342"/>
      <c r="T189" s="342"/>
      <c r="U189" s="342"/>
      <c r="V189" s="343"/>
      <c r="W189" s="343"/>
      <c r="X189" s="343"/>
    </row>
    <row r="190" spans="1:24" ht="20.25" customHeight="1"/>
    <row r="191" spans="1:24" ht="84">
      <c r="C191" s="281" t="s">
        <v>517</v>
      </c>
      <c r="D191" s="281"/>
      <c r="E191" s="281"/>
      <c r="F191" s="281"/>
      <c r="G191" s="281"/>
      <c r="H191" s="281"/>
      <c r="I191" s="281"/>
      <c r="J191" s="281"/>
      <c r="K191" s="281"/>
      <c r="L191" s="281"/>
      <c r="M191" s="281" t="s">
        <v>518</v>
      </c>
      <c r="N191" s="281" t="s">
        <v>519</v>
      </c>
      <c r="O191" s="281" t="s">
        <v>520</v>
      </c>
      <c r="P191" s="281" t="s">
        <v>519</v>
      </c>
      <c r="Q191" s="281" t="s">
        <v>521</v>
      </c>
      <c r="R191" s="281" t="s">
        <v>519</v>
      </c>
      <c r="S191" s="281" t="s">
        <v>522</v>
      </c>
      <c r="T191" s="281" t="s">
        <v>523</v>
      </c>
      <c r="U191" s="281" t="s">
        <v>524</v>
      </c>
      <c r="V191" s="282" t="s">
        <v>37</v>
      </c>
    </row>
    <row r="192" spans="1:24">
      <c r="C192" s="283" t="s">
        <v>525</v>
      </c>
      <c r="D192" s="284"/>
      <c r="E192" s="284"/>
      <c r="F192" s="284"/>
      <c r="G192" s="284"/>
      <c r="H192" s="284"/>
      <c r="I192" s="284"/>
      <c r="J192" s="284"/>
      <c r="K192" s="284"/>
      <c r="L192" s="284"/>
      <c r="M192" s="285">
        <f>M11+M12+M24+M25</f>
        <v>22811900</v>
      </c>
      <c r="N192" s="285">
        <f>M192/S192*100</f>
        <v>67.145169835756761</v>
      </c>
      <c r="O192" s="285">
        <f>M41+M49+M52</f>
        <v>11162100</v>
      </c>
      <c r="P192" s="285">
        <f>O192/S192*100</f>
        <v>32.854830164243239</v>
      </c>
      <c r="Q192" s="285">
        <v>0</v>
      </c>
      <c r="R192" s="285">
        <v>0</v>
      </c>
      <c r="S192" s="286">
        <f>M192+O192+Q192</f>
        <v>33974000</v>
      </c>
      <c r="T192" s="287">
        <f>S192/S196*100</f>
        <v>82.904462453361049</v>
      </c>
      <c r="U192" s="281">
        <v>85</v>
      </c>
      <c r="V192" s="288">
        <f>U192-T192</f>
        <v>2.0955375466389512</v>
      </c>
    </row>
    <row r="193" spans="3:22">
      <c r="C193" s="283" t="s">
        <v>526</v>
      </c>
      <c r="D193" s="284"/>
      <c r="E193" s="284"/>
      <c r="F193" s="284"/>
      <c r="G193" s="284"/>
      <c r="H193" s="284"/>
      <c r="I193" s="284"/>
      <c r="J193" s="284"/>
      <c r="K193" s="284"/>
      <c r="L193" s="284"/>
      <c r="M193" s="285">
        <f>M110</f>
        <v>3806000</v>
      </c>
      <c r="N193" s="285">
        <f>M193/S193*100</f>
        <v>88.759328358208961</v>
      </c>
      <c r="O193" s="285">
        <f>M118</f>
        <v>482000</v>
      </c>
      <c r="P193" s="285">
        <f>O193/S193*100</f>
        <v>11.240671641791044</v>
      </c>
      <c r="Q193" s="285">
        <v>0</v>
      </c>
      <c r="R193" s="285">
        <v>0</v>
      </c>
      <c r="S193" s="286">
        <f>M193+O193+Q193</f>
        <v>4288000</v>
      </c>
      <c r="T193" s="287">
        <f>S193/S196*100</f>
        <v>10.463717401542715</v>
      </c>
      <c r="U193" s="281">
        <v>10</v>
      </c>
      <c r="V193" s="288">
        <f>U193-T193</f>
        <v>-0.46371740154271457</v>
      </c>
    </row>
    <row r="194" spans="3:22">
      <c r="C194" s="283" t="s">
        <v>527</v>
      </c>
      <c r="D194" s="284"/>
      <c r="E194" s="284"/>
      <c r="F194" s="284"/>
      <c r="G194" s="284"/>
      <c r="H194" s="284"/>
      <c r="I194" s="284"/>
      <c r="J194" s="284"/>
      <c r="K194" s="284"/>
      <c r="L194" s="284"/>
      <c r="M194" s="285">
        <f>M126</f>
        <v>1887700</v>
      </c>
      <c r="N194" s="285">
        <f>M194/S194*100</f>
        <v>98.435626010324867</v>
      </c>
      <c r="O194" s="285">
        <f>M138</f>
        <v>30000</v>
      </c>
      <c r="P194" s="285">
        <f>O194/S194*100</f>
        <v>1.5643739896751316</v>
      </c>
      <c r="Q194" s="285">
        <v>0</v>
      </c>
      <c r="R194" s="285">
        <v>0</v>
      </c>
      <c r="S194" s="286">
        <f>M194+O194+Q194</f>
        <v>1917700</v>
      </c>
      <c r="T194" s="287">
        <f>S194/S196*100</f>
        <v>4.6796340627188586</v>
      </c>
      <c r="U194" s="281">
        <v>4</v>
      </c>
      <c r="V194" s="288">
        <f>U194-T194</f>
        <v>-0.67963406271885862</v>
      </c>
    </row>
    <row r="195" spans="3:22">
      <c r="C195" s="283" t="s">
        <v>528</v>
      </c>
      <c r="D195" s="284"/>
      <c r="E195" s="284"/>
      <c r="F195" s="284"/>
      <c r="G195" s="284"/>
      <c r="H195" s="284"/>
      <c r="I195" s="284"/>
      <c r="J195" s="284"/>
      <c r="K195" s="284"/>
      <c r="L195" s="284"/>
      <c r="M195" s="285">
        <f>M143</f>
        <v>480000</v>
      </c>
      <c r="N195" s="285">
        <f>M195/S195*100</f>
        <v>60</v>
      </c>
      <c r="O195" s="285">
        <f>M166</f>
        <v>320000</v>
      </c>
      <c r="P195" s="285">
        <f>O195/S195*100</f>
        <v>40</v>
      </c>
      <c r="Q195" s="285">
        <v>0</v>
      </c>
      <c r="R195" s="285">
        <v>0</v>
      </c>
      <c r="S195" s="286">
        <f>M195+O195+Q195</f>
        <v>800000</v>
      </c>
      <c r="T195" s="287">
        <f>S195/S196*100</f>
        <v>1.9521860823773722</v>
      </c>
      <c r="U195" s="281">
        <v>1</v>
      </c>
      <c r="V195" s="288">
        <f>U195-T195</f>
        <v>-0.95218608237737223</v>
      </c>
    </row>
    <row r="196" spans="3:22" ht="21.75" thickBot="1">
      <c r="C196" s="289" t="s">
        <v>522</v>
      </c>
      <c r="D196" s="290"/>
      <c r="E196" s="290"/>
      <c r="F196" s="290"/>
      <c r="G196" s="290"/>
      <c r="H196" s="290"/>
      <c r="I196" s="290"/>
      <c r="J196" s="290"/>
      <c r="K196" s="290"/>
      <c r="L196" s="290"/>
      <c r="M196" s="291"/>
      <c r="N196" s="291"/>
      <c r="O196" s="291"/>
      <c r="P196" s="291"/>
      <c r="Q196" s="291"/>
      <c r="R196" s="291"/>
      <c r="S196" s="292">
        <f>SUM(S192:S195)</f>
        <v>40979700</v>
      </c>
      <c r="T196" s="293">
        <f>SUM(T192:T195)</f>
        <v>99.999999999999986</v>
      </c>
      <c r="U196" s="289">
        <f>SUM(U192:U195)</f>
        <v>100</v>
      </c>
      <c r="V196" s="294" t="s">
        <v>34</v>
      </c>
    </row>
    <row r="197" spans="3:22" ht="21.75" thickTop="1">
      <c r="C197" s="367"/>
      <c r="D197" s="306"/>
      <c r="E197" s="306"/>
      <c r="F197" s="306"/>
      <c r="G197" s="306"/>
      <c r="H197" s="306"/>
      <c r="I197" s="306"/>
      <c r="J197" s="306"/>
      <c r="K197" s="306"/>
      <c r="L197" s="306"/>
      <c r="M197" s="368"/>
      <c r="N197" s="368"/>
      <c r="O197" s="368"/>
      <c r="P197" s="368"/>
      <c r="Q197" s="368"/>
      <c r="R197" s="368"/>
      <c r="S197" s="369"/>
      <c r="T197" s="370"/>
      <c r="U197" s="367"/>
      <c r="V197" s="370"/>
    </row>
    <row r="198" spans="3:22">
      <c r="C198" s="367"/>
      <c r="D198" s="306"/>
      <c r="E198" s="306"/>
      <c r="F198" s="306"/>
      <c r="G198" s="306"/>
      <c r="H198" s="306"/>
      <c r="I198" s="306"/>
      <c r="J198" s="306"/>
      <c r="K198" s="306"/>
      <c r="L198" s="306"/>
      <c r="M198" s="368"/>
      <c r="N198" s="368"/>
      <c r="O198" s="368"/>
      <c r="P198" s="368"/>
      <c r="Q198" s="368"/>
      <c r="R198" s="368"/>
      <c r="S198" s="369"/>
      <c r="T198" s="370"/>
      <c r="U198" s="367"/>
      <c r="V198" s="370"/>
    </row>
    <row r="199" spans="3:22">
      <c r="C199" s="367"/>
      <c r="D199" s="306"/>
      <c r="E199" s="306"/>
      <c r="F199" s="306"/>
      <c r="G199" s="306"/>
      <c r="H199" s="306"/>
      <c r="I199" s="306"/>
      <c r="J199" s="306"/>
      <c r="K199" s="306"/>
      <c r="L199" s="306"/>
      <c r="M199" s="368"/>
      <c r="N199" s="368"/>
      <c r="O199" s="368"/>
      <c r="P199" s="368"/>
      <c r="Q199" s="368"/>
      <c r="R199" s="368"/>
      <c r="S199" s="369"/>
      <c r="T199" s="370"/>
      <c r="U199" s="367"/>
      <c r="V199" s="370"/>
    </row>
    <row r="200" spans="3:22">
      <c r="C200" s="367"/>
      <c r="D200" s="306"/>
      <c r="E200" s="306"/>
      <c r="F200" s="306"/>
      <c r="G200" s="306"/>
      <c r="H200" s="306"/>
      <c r="I200" s="306"/>
      <c r="J200" s="306"/>
      <c r="K200" s="306"/>
      <c r="L200" s="306"/>
      <c r="M200" s="368"/>
      <c r="N200" s="368"/>
      <c r="O200" s="368"/>
      <c r="P200" s="368"/>
      <c r="Q200" s="368"/>
      <c r="R200" s="368"/>
      <c r="S200" s="369"/>
      <c r="T200" s="370"/>
      <c r="U200" s="367"/>
      <c r="V200" s="370"/>
    </row>
    <row r="201" spans="3:22">
      <c r="C201" s="367"/>
      <c r="D201" s="306"/>
      <c r="E201" s="306"/>
      <c r="F201" s="306"/>
      <c r="G201" s="306"/>
      <c r="H201" s="306"/>
      <c r="I201" s="306"/>
      <c r="J201" s="306"/>
      <c r="K201" s="306"/>
      <c r="L201" s="306"/>
      <c r="M201" s="368"/>
      <c r="N201" s="368"/>
      <c r="O201" s="368"/>
      <c r="P201" s="368"/>
      <c r="Q201" s="368"/>
      <c r="R201" s="368"/>
      <c r="S201" s="369"/>
      <c r="T201" s="370"/>
      <c r="U201" s="367"/>
      <c r="V201" s="370"/>
    </row>
    <row r="202" spans="3:22">
      <c r="C202" s="367"/>
      <c r="D202" s="306"/>
      <c r="E202" s="306"/>
      <c r="F202" s="306"/>
      <c r="G202" s="306"/>
      <c r="H202" s="306"/>
      <c r="I202" s="306"/>
      <c r="J202" s="306"/>
      <c r="K202" s="306"/>
      <c r="L202" s="306"/>
      <c r="M202" s="368"/>
      <c r="N202" s="368"/>
      <c r="O202" s="368"/>
      <c r="P202" s="368"/>
      <c r="Q202" s="368"/>
      <c r="R202" s="368"/>
      <c r="S202" s="369"/>
      <c r="T202" s="370"/>
      <c r="U202" s="367"/>
      <c r="V202" s="370"/>
    </row>
    <row r="203" spans="3:22">
      <c r="C203" s="367"/>
      <c r="D203" s="306"/>
      <c r="E203" s="306"/>
      <c r="F203" s="306"/>
      <c r="G203" s="306"/>
      <c r="H203" s="306"/>
      <c r="I203" s="306"/>
      <c r="J203" s="306"/>
      <c r="K203" s="306"/>
      <c r="L203" s="306"/>
      <c r="M203" s="368"/>
      <c r="N203" s="368"/>
      <c r="O203" s="368"/>
      <c r="P203" s="368"/>
      <c r="Q203" s="368"/>
      <c r="R203" s="368"/>
      <c r="S203" s="369"/>
      <c r="T203" s="370"/>
      <c r="U203" s="367"/>
      <c r="V203" s="370"/>
    </row>
    <row r="204" spans="3:22">
      <c r="C204" s="367"/>
      <c r="D204" s="306"/>
      <c r="E204" s="306"/>
      <c r="F204" s="306"/>
      <c r="G204" s="306"/>
      <c r="H204" s="306"/>
      <c r="I204" s="306"/>
      <c r="J204" s="306"/>
      <c r="K204" s="306"/>
      <c r="L204" s="306"/>
      <c r="M204" s="368"/>
      <c r="N204" s="368"/>
      <c r="O204" s="368"/>
      <c r="P204" s="368"/>
      <c r="Q204" s="368"/>
      <c r="R204" s="368"/>
      <c r="S204" s="369"/>
      <c r="T204" s="370"/>
      <c r="U204" s="367"/>
      <c r="V204" s="370"/>
    </row>
    <row r="205" spans="3:22">
      <c r="C205" s="367"/>
      <c r="D205" s="306"/>
      <c r="E205" s="306"/>
      <c r="F205" s="306"/>
      <c r="G205" s="306"/>
      <c r="H205" s="306"/>
      <c r="I205" s="306"/>
      <c r="J205" s="306"/>
      <c r="K205" s="306"/>
      <c r="L205" s="306"/>
      <c r="M205" s="368"/>
      <c r="N205" s="368"/>
      <c r="O205" s="368"/>
      <c r="P205" s="368"/>
      <c r="Q205" s="368"/>
      <c r="R205" s="368"/>
      <c r="S205" s="369"/>
      <c r="T205" s="370"/>
      <c r="U205" s="367"/>
      <c r="V205" s="370"/>
    </row>
    <row r="206" spans="3:22">
      <c r="C206" s="367"/>
      <c r="D206" s="306"/>
      <c r="E206" s="306"/>
      <c r="F206" s="306"/>
      <c r="G206" s="306"/>
      <c r="H206" s="306"/>
      <c r="I206" s="306"/>
      <c r="J206" s="306"/>
      <c r="K206" s="306"/>
      <c r="L206" s="306"/>
      <c r="M206" s="368"/>
      <c r="N206" s="368"/>
      <c r="O206" s="368"/>
      <c r="P206" s="368"/>
      <c r="Q206" s="368"/>
      <c r="R206" s="368"/>
      <c r="S206" s="369"/>
      <c r="T206" s="370"/>
      <c r="U206" s="367"/>
      <c r="V206" s="370"/>
    </row>
    <row r="207" spans="3:22">
      <c r="C207" s="367"/>
      <c r="D207" s="306"/>
      <c r="E207" s="306"/>
      <c r="F207" s="306"/>
      <c r="G207" s="306"/>
      <c r="H207" s="306"/>
      <c r="I207" s="306"/>
      <c r="J207" s="306"/>
      <c r="K207" s="306"/>
      <c r="L207" s="306"/>
      <c r="M207" s="368"/>
      <c r="N207" s="368"/>
      <c r="O207" s="368"/>
      <c r="P207" s="368"/>
      <c r="Q207" s="368"/>
      <c r="R207" s="368"/>
      <c r="S207" s="369"/>
      <c r="T207" s="370"/>
      <c r="U207" s="367"/>
      <c r="V207" s="370"/>
    </row>
    <row r="208" spans="3:22">
      <c r="C208" s="367"/>
      <c r="D208" s="306"/>
      <c r="E208" s="306"/>
      <c r="F208" s="306"/>
      <c r="G208" s="306"/>
      <c r="H208" s="306"/>
      <c r="I208" s="306"/>
      <c r="J208" s="306"/>
      <c r="K208" s="306"/>
      <c r="L208" s="306"/>
      <c r="M208" s="368"/>
      <c r="N208" s="368"/>
      <c r="O208" s="368"/>
      <c r="P208" s="368"/>
      <c r="Q208" s="368"/>
      <c r="R208" s="368"/>
      <c r="S208" s="369"/>
      <c r="T208" s="370"/>
      <c r="U208" s="367"/>
      <c r="V208" s="370"/>
    </row>
    <row r="209" spans="1:24">
      <c r="C209" s="367"/>
      <c r="D209" s="306"/>
      <c r="E209" s="306"/>
      <c r="F209" s="306"/>
      <c r="G209" s="306"/>
      <c r="H209" s="306"/>
      <c r="I209" s="306"/>
      <c r="J209" s="306"/>
      <c r="K209" s="306"/>
      <c r="L209" s="306"/>
      <c r="M209" s="368"/>
      <c r="N209" s="368"/>
      <c r="O209" s="368"/>
      <c r="P209" s="368"/>
      <c r="Q209" s="368"/>
      <c r="R209" s="368"/>
      <c r="S209" s="369"/>
      <c r="T209" s="370"/>
      <c r="U209" s="367"/>
      <c r="V209" s="370"/>
    </row>
    <row r="210" spans="1:24">
      <c r="C210" s="367"/>
      <c r="D210" s="306"/>
      <c r="E210" s="306"/>
      <c r="F210" s="306"/>
      <c r="G210" s="306"/>
      <c r="H210" s="306"/>
      <c r="I210" s="306"/>
      <c r="J210" s="306"/>
      <c r="K210" s="306"/>
      <c r="L210" s="306"/>
      <c r="M210" s="368"/>
      <c r="N210" s="368"/>
      <c r="O210" s="368"/>
      <c r="P210" s="368"/>
      <c r="Q210" s="368"/>
      <c r="R210" s="368"/>
      <c r="S210" s="369"/>
      <c r="T210" s="370"/>
      <c r="U210" s="367"/>
      <c r="V210" s="370"/>
    </row>
    <row r="211" spans="1:24">
      <c r="C211" s="367"/>
      <c r="D211" s="306"/>
      <c r="E211" s="306"/>
      <c r="F211" s="306"/>
      <c r="G211" s="306"/>
      <c r="H211" s="306"/>
      <c r="I211" s="306"/>
      <c r="J211" s="306"/>
      <c r="K211" s="306"/>
      <c r="L211" s="306"/>
      <c r="M211" s="368"/>
      <c r="N211" s="368"/>
      <c r="O211" s="368"/>
      <c r="P211" s="368"/>
      <c r="Q211" s="368"/>
      <c r="R211" s="368"/>
      <c r="S211" s="369"/>
      <c r="T211" s="370"/>
      <c r="U211" s="367"/>
      <c r="V211" s="370"/>
    </row>
    <row r="212" spans="1:24">
      <c r="C212" s="367"/>
      <c r="D212" s="306"/>
      <c r="E212" s="306"/>
      <c r="F212" s="306"/>
      <c r="G212" s="306"/>
      <c r="H212" s="306"/>
      <c r="I212" s="306"/>
      <c r="J212" s="306"/>
      <c r="K212" s="306"/>
      <c r="L212" s="306"/>
      <c r="M212" s="368"/>
      <c r="N212" s="368"/>
      <c r="O212" s="368"/>
      <c r="P212" s="368"/>
      <c r="Q212" s="368"/>
      <c r="R212" s="368"/>
      <c r="S212" s="369"/>
      <c r="T212" s="370"/>
      <c r="U212" s="367"/>
      <c r="V212" s="370"/>
    </row>
    <row r="213" spans="1:24" s="295" customFormat="1" ht="29.25">
      <c r="A213" s="1329" t="s">
        <v>572</v>
      </c>
      <c r="B213" s="1329"/>
      <c r="C213" s="1329"/>
      <c r="D213" s="1329"/>
      <c r="E213" s="1329"/>
      <c r="F213" s="1329"/>
      <c r="G213" s="1329"/>
      <c r="H213" s="1329"/>
      <c r="I213" s="1329"/>
      <c r="J213" s="1329"/>
      <c r="K213" s="1329"/>
      <c r="L213" s="1329"/>
      <c r="M213" s="1329"/>
      <c r="N213" s="1329"/>
      <c r="O213" s="1329"/>
      <c r="P213" s="1329"/>
      <c r="Q213" s="1329"/>
      <c r="R213" s="1329"/>
      <c r="S213" s="1329"/>
      <c r="T213" s="1329"/>
      <c r="U213" s="1329"/>
      <c r="V213" s="1329"/>
      <c r="W213" s="1329"/>
      <c r="X213" s="1329"/>
    </row>
    <row r="214" spans="1:24" s="298" customFormat="1" ht="23.25">
      <c r="A214" s="336" t="s">
        <v>530</v>
      </c>
      <c r="B214" s="336" t="s">
        <v>531</v>
      </c>
      <c r="C214" s="336" t="s">
        <v>532</v>
      </c>
      <c r="D214" s="336"/>
      <c r="E214" s="336"/>
      <c r="F214" s="336"/>
      <c r="G214" s="336"/>
      <c r="H214" s="336"/>
      <c r="I214" s="336"/>
      <c r="J214" s="336"/>
      <c r="K214" s="336"/>
      <c r="L214" s="336"/>
      <c r="M214" s="336" t="s">
        <v>533</v>
      </c>
      <c r="N214" s="1330" t="s">
        <v>574</v>
      </c>
      <c r="O214" s="1330"/>
      <c r="P214" s="1331" t="s">
        <v>534</v>
      </c>
      <c r="Q214" s="1331"/>
      <c r="R214" s="1331"/>
      <c r="S214" s="1331"/>
      <c r="T214" s="1331"/>
      <c r="U214" s="1331"/>
      <c r="V214" s="1331"/>
      <c r="W214" s="1331"/>
      <c r="X214" s="1332"/>
    </row>
    <row r="215" spans="1:24" s="482" customFormat="1" ht="45.75" customHeight="1">
      <c r="A215" s="242" t="s">
        <v>178</v>
      </c>
      <c r="B215" s="371" t="s">
        <v>357</v>
      </c>
      <c r="C215" s="371" t="s">
        <v>573</v>
      </c>
      <c r="D215" s="371"/>
      <c r="E215" s="371"/>
      <c r="F215" s="371"/>
      <c r="G215" s="372"/>
      <c r="H215" s="372"/>
      <c r="I215" s="196" t="s">
        <v>57</v>
      </c>
      <c r="J215" s="371"/>
      <c r="K215" s="371"/>
      <c r="L215" s="194"/>
      <c r="M215" s="195">
        <v>67000</v>
      </c>
      <c r="N215" s="1333" t="s">
        <v>575</v>
      </c>
      <c r="O215" s="1333"/>
      <c r="P215" s="1334" t="s">
        <v>580</v>
      </c>
      <c r="Q215" s="1335"/>
      <c r="R215" s="1335"/>
      <c r="S215" s="1335"/>
      <c r="T215" s="1335"/>
      <c r="U215" s="1335"/>
      <c r="V215" s="1335"/>
      <c r="W215" s="1335"/>
      <c r="X215" s="1336"/>
    </row>
    <row r="216" spans="1:24" s="304" customFormat="1" ht="105">
      <c r="A216" s="481" t="s">
        <v>127</v>
      </c>
      <c r="B216" s="483" t="s">
        <v>576</v>
      </c>
      <c r="C216" s="138" t="s">
        <v>591</v>
      </c>
      <c r="D216" s="138"/>
      <c r="E216" s="138"/>
      <c r="F216" s="303" t="s">
        <v>34</v>
      </c>
      <c r="G216" s="140"/>
      <c r="H216" s="140"/>
      <c r="I216" s="138"/>
      <c r="J216" s="138"/>
      <c r="K216" s="138"/>
      <c r="L216" s="92"/>
      <c r="M216" s="92">
        <v>0</v>
      </c>
      <c r="N216" s="1326" t="s">
        <v>575</v>
      </c>
      <c r="O216" s="1327"/>
      <c r="P216" s="1337" t="s">
        <v>590</v>
      </c>
      <c r="Q216" s="1338"/>
      <c r="R216" s="1338"/>
      <c r="S216" s="1338"/>
      <c r="T216" s="1338"/>
      <c r="U216" s="1338"/>
      <c r="V216" s="1338"/>
      <c r="W216" s="1338"/>
      <c r="X216" s="1339"/>
    </row>
    <row r="217" spans="1:24" s="304" customFormat="1">
      <c r="A217" s="481" t="s">
        <v>131</v>
      </c>
      <c r="B217" s="483" t="s">
        <v>577</v>
      </c>
      <c r="C217" s="138" t="s">
        <v>538</v>
      </c>
      <c r="D217" s="138"/>
      <c r="E217" s="138"/>
      <c r="F217" s="303" t="s">
        <v>34</v>
      </c>
      <c r="G217" s="140"/>
      <c r="H217" s="140"/>
      <c r="I217" s="138"/>
      <c r="J217" s="138"/>
      <c r="K217" s="138"/>
      <c r="L217" s="92"/>
      <c r="M217" s="92">
        <v>300000</v>
      </c>
      <c r="N217" s="1326" t="s">
        <v>575</v>
      </c>
      <c r="O217" s="1327"/>
      <c r="P217" s="480"/>
      <c r="Q217" s="480"/>
      <c r="R217" s="480"/>
      <c r="S217" s="480"/>
      <c r="T217" s="385"/>
      <c r="U217" s="385"/>
      <c r="V217" s="385"/>
      <c r="W217" s="385"/>
      <c r="X217" s="386"/>
    </row>
    <row r="218" spans="1:24" s="492" customFormat="1" ht="64.5" customHeight="1">
      <c r="A218" s="279" t="s">
        <v>180</v>
      </c>
      <c r="B218" s="491" t="s">
        <v>577</v>
      </c>
      <c r="C218" s="276" t="s">
        <v>542</v>
      </c>
      <c r="D218" s="276"/>
      <c r="E218" s="276"/>
      <c r="F218" s="276"/>
      <c r="G218" s="276"/>
      <c r="H218" s="276"/>
      <c r="I218" s="276"/>
      <c r="J218" s="276"/>
      <c r="K218" s="276"/>
      <c r="L218" s="276"/>
      <c r="M218" s="171">
        <v>980000</v>
      </c>
      <c r="N218" s="1321" t="s">
        <v>575</v>
      </c>
      <c r="O218" s="1322"/>
      <c r="P218" s="1321" t="s">
        <v>588</v>
      </c>
      <c r="Q218" s="1328"/>
      <c r="R218" s="1328"/>
      <c r="S218" s="1328"/>
      <c r="T218" s="1328"/>
      <c r="U218" s="1328"/>
      <c r="V218" s="1328"/>
      <c r="W218" s="1328"/>
      <c r="X218" s="1322"/>
    </row>
    <row r="219" spans="1:24" s="492" customFormat="1" ht="66" customHeight="1">
      <c r="A219" s="279" t="s">
        <v>218</v>
      </c>
      <c r="B219" s="491" t="s">
        <v>577</v>
      </c>
      <c r="C219" s="276" t="s">
        <v>545</v>
      </c>
      <c r="D219" s="276"/>
      <c r="E219" s="276"/>
      <c r="F219" s="276"/>
      <c r="G219" s="276"/>
      <c r="H219" s="276"/>
      <c r="I219" s="276"/>
      <c r="J219" s="276"/>
      <c r="K219" s="276"/>
      <c r="L219" s="276"/>
      <c r="M219" s="171">
        <v>500000</v>
      </c>
      <c r="N219" s="1321" t="s">
        <v>575</v>
      </c>
      <c r="O219" s="1322"/>
      <c r="P219" s="1323" t="s">
        <v>583</v>
      </c>
      <c r="Q219" s="1324"/>
      <c r="R219" s="1324"/>
      <c r="S219" s="1324"/>
      <c r="T219" s="1324"/>
      <c r="U219" s="1324"/>
      <c r="V219" s="1324"/>
      <c r="W219" s="1324"/>
      <c r="X219" s="1325"/>
    </row>
    <row r="220" spans="1:24" s="304" customFormat="1" ht="105">
      <c r="A220" s="481" t="s">
        <v>228</v>
      </c>
      <c r="B220" s="483" t="s">
        <v>577</v>
      </c>
      <c r="C220" s="138" t="s">
        <v>579</v>
      </c>
      <c r="D220" s="138"/>
      <c r="E220" s="138"/>
      <c r="F220" s="138"/>
      <c r="G220" s="138"/>
      <c r="H220" s="138"/>
      <c r="I220" s="138"/>
      <c r="J220" s="138"/>
      <c r="K220" s="138"/>
      <c r="L220" s="138"/>
      <c r="M220" s="92">
        <v>200000</v>
      </c>
      <c r="N220" s="1326" t="s">
        <v>575</v>
      </c>
      <c r="O220" s="1327"/>
      <c r="P220" s="480"/>
      <c r="Q220" s="480"/>
      <c r="R220" s="480"/>
      <c r="S220" s="480"/>
      <c r="T220" s="385"/>
      <c r="U220" s="385"/>
      <c r="V220" s="385"/>
      <c r="W220" s="385"/>
      <c r="X220" s="386"/>
    </row>
    <row r="221" spans="1:24" s="304" customFormat="1" ht="84">
      <c r="A221" s="481" t="s">
        <v>241</v>
      </c>
      <c r="B221" s="483" t="s">
        <v>55</v>
      </c>
      <c r="C221" s="138" t="s">
        <v>581</v>
      </c>
      <c r="D221" s="138"/>
      <c r="E221" s="138"/>
      <c r="F221" s="138"/>
      <c r="G221" s="138"/>
      <c r="H221" s="138"/>
      <c r="I221" s="138"/>
      <c r="J221" s="138"/>
      <c r="K221" s="138"/>
      <c r="L221" s="138"/>
      <c r="M221" s="92">
        <f>140000-45600</f>
        <v>94400</v>
      </c>
      <c r="N221" s="1326" t="s">
        <v>575</v>
      </c>
      <c r="O221" s="1327"/>
      <c r="P221" s="480"/>
      <c r="Q221" s="480"/>
      <c r="R221" s="480"/>
      <c r="S221" s="480"/>
      <c r="T221" s="385"/>
      <c r="U221" s="385"/>
      <c r="V221" s="385"/>
      <c r="W221" s="385"/>
      <c r="X221" s="386"/>
    </row>
    <row r="222" spans="1:24" ht="24" thickBot="1">
      <c r="C222" s="484" t="s">
        <v>578</v>
      </c>
      <c r="D222" s="484"/>
      <c r="E222" s="484"/>
      <c r="F222" s="484"/>
      <c r="G222" s="484"/>
      <c r="H222" s="484"/>
      <c r="I222" s="484"/>
      <c r="J222" s="484"/>
      <c r="K222" s="484"/>
      <c r="L222" s="484"/>
      <c r="M222" s="485">
        <f>SUM(M215:M221)</f>
        <v>2141400</v>
      </c>
      <c r="N222" s="368"/>
      <c r="O222" s="368"/>
      <c r="P222" s="368"/>
      <c r="Q222" s="368"/>
      <c r="R222" s="368"/>
      <c r="S222" s="369"/>
      <c r="T222" s="370"/>
      <c r="U222" s="367"/>
      <c r="V222" s="370"/>
    </row>
    <row r="223" spans="1:24" ht="21.75" thickTop="1">
      <c r="C223" s="367"/>
      <c r="D223" s="306"/>
      <c r="E223" s="306"/>
      <c r="F223" s="306"/>
      <c r="G223" s="306"/>
      <c r="H223" s="306"/>
      <c r="I223" s="306"/>
      <c r="J223" s="306"/>
      <c r="K223" s="306"/>
      <c r="L223" s="306"/>
      <c r="M223" s="368"/>
      <c r="N223" s="368"/>
      <c r="O223" s="368"/>
      <c r="P223" s="368"/>
      <c r="Q223" s="368"/>
      <c r="R223" s="368"/>
      <c r="S223" s="369"/>
      <c r="T223" s="370"/>
      <c r="U223" s="367"/>
      <c r="V223" s="370"/>
    </row>
    <row r="224" spans="1:24" ht="23.25">
      <c r="C224" s="493" t="s">
        <v>582</v>
      </c>
      <c r="D224" s="306"/>
      <c r="E224" s="306"/>
      <c r="F224" s="306"/>
      <c r="G224" s="306"/>
      <c r="H224" s="306"/>
      <c r="I224" s="306"/>
      <c r="J224" s="306"/>
      <c r="K224" s="306"/>
      <c r="L224" s="306"/>
      <c r="M224" s="490">
        <v>1998950</v>
      </c>
      <c r="N224" s="368" t="s">
        <v>34</v>
      </c>
      <c r="O224" s="368"/>
      <c r="P224" s="368"/>
      <c r="Q224" s="368"/>
      <c r="R224" s="368"/>
      <c r="S224" s="369"/>
      <c r="T224" s="370"/>
      <c r="U224" s="367"/>
      <c r="V224" s="370"/>
    </row>
    <row r="225" spans="1:24" ht="23.25">
      <c r="A225" s="496" t="s">
        <v>586</v>
      </c>
      <c r="C225" s="493"/>
      <c r="D225" s="306"/>
      <c r="E225" s="306"/>
      <c r="F225" s="306"/>
      <c r="G225" s="306"/>
      <c r="H225" s="306"/>
      <c r="I225" s="306"/>
      <c r="J225" s="306"/>
      <c r="K225" s="306"/>
      <c r="L225" s="306"/>
      <c r="M225" s="490"/>
      <c r="N225" s="368"/>
      <c r="O225" s="368"/>
      <c r="P225" s="368"/>
      <c r="Q225" s="368"/>
      <c r="R225" s="368"/>
      <c r="S225" s="369"/>
      <c r="T225" s="370"/>
      <c r="U225" s="367"/>
      <c r="V225" s="370"/>
    </row>
    <row r="226" spans="1:24" ht="68.25" customHeight="1">
      <c r="C226" s="493" t="s">
        <v>587</v>
      </c>
      <c r="D226" s="306"/>
      <c r="E226" s="306"/>
      <c r="F226" s="306"/>
      <c r="G226" s="306"/>
      <c r="H226" s="306"/>
      <c r="I226" s="306"/>
      <c r="J226" s="306"/>
      <c r="K226" s="306"/>
      <c r="L226" s="306"/>
      <c r="M226" s="368">
        <f>M215+M216+M217+M220+M221</f>
        <v>661400</v>
      </c>
      <c r="N226" s="368"/>
      <c r="O226" s="368"/>
      <c r="P226" s="368"/>
      <c r="Q226" s="368"/>
      <c r="R226" s="368"/>
      <c r="S226" s="369"/>
      <c r="T226" s="370"/>
      <c r="U226" s="367"/>
      <c r="V226" s="370"/>
    </row>
    <row r="227" spans="1:24" ht="42">
      <c r="C227" s="493" t="s">
        <v>585</v>
      </c>
      <c r="D227" s="306"/>
      <c r="E227" s="306"/>
      <c r="F227" s="306"/>
      <c r="G227" s="306"/>
      <c r="H227" s="306"/>
      <c r="I227" s="306"/>
      <c r="J227" s="306"/>
      <c r="K227" s="306"/>
      <c r="L227" s="306"/>
      <c r="M227" s="494">
        <f>M224-M226</f>
        <v>1337550</v>
      </c>
      <c r="N227" s="368"/>
      <c r="O227" s="368"/>
      <c r="P227" s="368"/>
      <c r="Q227" s="368"/>
      <c r="R227" s="368"/>
      <c r="S227" s="369"/>
      <c r="T227" s="370"/>
      <c r="U227" s="367"/>
      <c r="V227" s="370"/>
    </row>
    <row r="228" spans="1:24" ht="23.25">
      <c r="C228" s="493" t="s">
        <v>584</v>
      </c>
      <c r="D228" s="306"/>
      <c r="E228" s="306"/>
      <c r="F228" s="306"/>
      <c r="G228" s="306"/>
      <c r="H228" s="306"/>
      <c r="I228" s="306"/>
      <c r="J228" s="306"/>
      <c r="K228" s="306"/>
      <c r="L228" s="306"/>
      <c r="M228" s="494">
        <f>M218+M219</f>
        <v>1480000</v>
      </c>
      <c r="N228" s="368"/>
      <c r="O228" s="368"/>
      <c r="P228" s="368"/>
      <c r="Q228" s="368"/>
      <c r="R228" s="368"/>
      <c r="S228" s="369"/>
      <c r="T228" s="370"/>
      <c r="U228" s="367"/>
      <c r="V228" s="370"/>
    </row>
    <row r="229" spans="1:24">
      <c r="C229" s="495" t="s">
        <v>589</v>
      </c>
      <c r="D229" s="306"/>
      <c r="E229" s="306"/>
      <c r="F229" s="306"/>
      <c r="G229" s="306"/>
      <c r="H229" s="306"/>
      <c r="I229" s="306"/>
      <c r="J229" s="306"/>
      <c r="K229" s="306"/>
      <c r="L229" s="306"/>
      <c r="M229" s="368"/>
      <c r="N229" s="368"/>
      <c r="O229" s="368"/>
      <c r="P229" s="368"/>
      <c r="Q229" s="368"/>
      <c r="R229" s="368"/>
      <c r="S229" s="369"/>
      <c r="T229" s="370"/>
      <c r="U229" s="367"/>
      <c r="V229" s="370"/>
    </row>
    <row r="230" spans="1:24">
      <c r="C230" s="367"/>
      <c r="D230" s="306"/>
      <c r="E230" s="306"/>
      <c r="F230" s="306"/>
      <c r="G230" s="306"/>
      <c r="H230" s="306"/>
      <c r="I230" s="306"/>
      <c r="J230" s="306"/>
      <c r="K230" s="306"/>
      <c r="L230" s="306"/>
      <c r="M230" s="368"/>
      <c r="N230" s="368"/>
      <c r="O230" s="368"/>
      <c r="P230" s="368"/>
      <c r="Q230" s="368"/>
      <c r="R230" s="368"/>
      <c r="S230" s="369"/>
      <c r="T230" s="370"/>
      <c r="U230" s="367"/>
      <c r="V230" s="370"/>
    </row>
    <row r="231" spans="1:24">
      <c r="C231" s="367"/>
      <c r="D231" s="306"/>
      <c r="E231" s="306"/>
      <c r="F231" s="306"/>
      <c r="G231" s="306"/>
      <c r="H231" s="306"/>
      <c r="I231" s="306"/>
      <c r="J231" s="306"/>
      <c r="K231" s="306"/>
      <c r="L231" s="306"/>
      <c r="M231" s="368"/>
      <c r="N231" s="368"/>
      <c r="O231" s="368"/>
      <c r="P231" s="368"/>
      <c r="Q231" s="368"/>
      <c r="R231" s="368"/>
      <c r="S231" s="369"/>
      <c r="T231" s="370"/>
      <c r="U231" s="367"/>
      <c r="V231" s="370"/>
    </row>
    <row r="232" spans="1:24">
      <c r="C232" s="367"/>
      <c r="D232" s="306"/>
      <c r="E232" s="306"/>
      <c r="F232" s="306"/>
      <c r="G232" s="306"/>
      <c r="H232" s="306"/>
      <c r="I232" s="306"/>
      <c r="J232" s="306"/>
      <c r="K232" s="306"/>
      <c r="L232" s="306"/>
      <c r="M232" s="368"/>
      <c r="N232" s="368"/>
      <c r="O232" s="368"/>
      <c r="P232" s="368"/>
      <c r="Q232" s="368"/>
      <c r="R232" s="368"/>
      <c r="S232" s="369"/>
      <c r="T232" s="370"/>
      <c r="U232" s="367"/>
      <c r="V232" s="370"/>
    </row>
    <row r="233" spans="1:24" s="295" customFormat="1" ht="29.25">
      <c r="A233" s="1329" t="s">
        <v>529</v>
      </c>
      <c r="B233" s="1329"/>
      <c r="C233" s="1329"/>
      <c r="D233" s="1329"/>
      <c r="E233" s="1329"/>
      <c r="F233" s="1329"/>
      <c r="G233" s="1329"/>
      <c r="H233" s="1329"/>
      <c r="I233" s="1329"/>
      <c r="J233" s="1329"/>
      <c r="K233" s="1329"/>
      <c r="L233" s="1329"/>
      <c r="M233" s="1329"/>
      <c r="N233" s="1329"/>
      <c r="O233" s="1329"/>
      <c r="P233" s="1329"/>
      <c r="Q233" s="1329"/>
      <c r="R233" s="1329"/>
      <c r="S233" s="1329"/>
      <c r="T233" s="1329"/>
      <c r="U233" s="1329"/>
      <c r="V233" s="1329"/>
      <c r="W233" s="1329"/>
      <c r="X233" s="1329"/>
    </row>
    <row r="234" spans="1:24" s="298" customFormat="1" ht="23.25">
      <c r="A234" s="296" t="s">
        <v>530</v>
      </c>
      <c r="B234" s="296" t="s">
        <v>531</v>
      </c>
      <c r="C234" s="296" t="s">
        <v>532</v>
      </c>
      <c r="D234" s="296"/>
      <c r="E234" s="296"/>
      <c r="F234" s="296"/>
      <c r="G234" s="296"/>
      <c r="H234" s="296"/>
      <c r="I234" s="296"/>
      <c r="J234" s="296"/>
      <c r="K234" s="296"/>
      <c r="L234" s="296"/>
      <c r="M234" s="296" t="s">
        <v>533</v>
      </c>
      <c r="N234" s="376" t="s">
        <v>534</v>
      </c>
      <c r="O234" s="377"/>
      <c r="P234" s="377"/>
      <c r="Q234" s="377"/>
      <c r="R234" s="377"/>
      <c r="S234" s="377"/>
      <c r="T234" s="378"/>
      <c r="U234" s="378"/>
      <c r="V234" s="378"/>
      <c r="W234" s="378"/>
      <c r="X234" s="379"/>
    </row>
    <row r="235" spans="1:24" s="301" customFormat="1" ht="45.75" customHeight="1">
      <c r="A235" s="51" t="s">
        <v>178</v>
      </c>
      <c r="B235" s="197" t="s">
        <v>455</v>
      </c>
      <c r="C235" s="197" t="s">
        <v>535</v>
      </c>
      <c r="D235" s="371"/>
      <c r="E235" s="371"/>
      <c r="F235" s="371"/>
      <c r="G235" s="372"/>
      <c r="H235" s="372"/>
      <c r="I235" s="196" t="s">
        <v>57</v>
      </c>
      <c r="J235" s="371"/>
      <c r="K235" s="371"/>
      <c r="L235" s="194"/>
      <c r="M235" s="195">
        <f>SUM(M236:M237)</f>
        <v>300000</v>
      </c>
      <c r="N235" s="324" t="s">
        <v>536</v>
      </c>
      <c r="O235" s="325"/>
      <c r="P235" s="325"/>
      <c r="Q235" s="326"/>
      <c r="R235" s="325"/>
      <c r="S235" s="325"/>
      <c r="T235" s="325"/>
      <c r="U235" s="325"/>
      <c r="V235" s="380"/>
      <c r="W235" s="380"/>
      <c r="X235" s="381"/>
    </row>
    <row r="236" spans="1:24" s="301" customFormat="1">
      <c r="A236" s="334"/>
      <c r="B236" s="191"/>
      <c r="C236" s="373" t="s">
        <v>537</v>
      </c>
      <c r="D236" s="374"/>
      <c r="E236" s="374"/>
      <c r="F236" s="374"/>
      <c r="G236" s="238"/>
      <c r="H236" s="238"/>
      <c r="I236" s="190"/>
      <c r="J236" s="374"/>
      <c r="K236" s="374"/>
      <c r="L236" s="205"/>
      <c r="M236" s="206">
        <v>150000</v>
      </c>
      <c r="N236" s="328"/>
      <c r="O236" s="299"/>
      <c r="P236" s="299"/>
      <c r="R236" s="299"/>
      <c r="S236" s="299"/>
      <c r="T236" s="299"/>
      <c r="U236" s="299"/>
      <c r="V236" s="300"/>
      <c r="W236" s="300"/>
      <c r="X236" s="382"/>
    </row>
    <row r="237" spans="1:24" s="301" customFormat="1">
      <c r="A237" s="210"/>
      <c r="B237" s="189"/>
      <c r="C237" s="375" t="s">
        <v>283</v>
      </c>
      <c r="D237" s="69"/>
      <c r="E237" s="69"/>
      <c r="F237" s="69"/>
      <c r="G237" s="71"/>
      <c r="H237" s="71"/>
      <c r="I237" s="18"/>
      <c r="J237" s="69"/>
      <c r="K237" s="69"/>
      <c r="L237" s="72"/>
      <c r="M237" s="91">
        <v>150000</v>
      </c>
      <c r="N237" s="330"/>
      <c r="O237" s="331"/>
      <c r="P237" s="331"/>
      <c r="Q237" s="332"/>
      <c r="R237" s="331"/>
      <c r="S237" s="331"/>
      <c r="T237" s="331"/>
      <c r="U237" s="331"/>
      <c r="V237" s="383"/>
      <c r="W237" s="383"/>
      <c r="X237" s="384"/>
    </row>
    <row r="238" spans="1:24" s="304" customFormat="1" ht="63">
      <c r="A238" s="181" t="s">
        <v>127</v>
      </c>
      <c r="B238" s="52" t="s">
        <v>41</v>
      </c>
      <c r="C238" s="52" t="s">
        <v>538</v>
      </c>
      <c r="D238" s="138"/>
      <c r="E238" s="138"/>
      <c r="F238" s="303" t="s">
        <v>34</v>
      </c>
      <c r="G238" s="140"/>
      <c r="H238" s="140"/>
      <c r="I238" s="138"/>
      <c r="J238" s="138"/>
      <c r="K238" s="138"/>
      <c r="L238" s="92"/>
      <c r="M238" s="92">
        <v>286200</v>
      </c>
      <c r="N238" s="1342" t="s">
        <v>539</v>
      </c>
      <c r="O238" s="1343"/>
      <c r="P238" s="1343"/>
      <c r="Q238" s="1343"/>
      <c r="R238" s="1343"/>
      <c r="S238" s="1343"/>
      <c r="T238" s="385"/>
      <c r="U238" s="385"/>
      <c r="V238" s="385"/>
      <c r="W238" s="385"/>
      <c r="X238" s="386"/>
    </row>
    <row r="239" spans="1:24" s="301" customFormat="1" ht="84">
      <c r="A239" s="181" t="s">
        <v>131</v>
      </c>
      <c r="B239" s="199" t="s">
        <v>140</v>
      </c>
      <c r="C239" s="199" t="s">
        <v>540</v>
      </c>
      <c r="D239" s="250"/>
      <c r="E239" s="250"/>
      <c r="F239" s="250"/>
      <c r="G239" s="271"/>
      <c r="H239" s="271"/>
      <c r="I239" s="140" t="s">
        <v>57</v>
      </c>
      <c r="J239" s="250"/>
      <c r="K239" s="250"/>
      <c r="L239" s="100"/>
      <c r="M239" s="92">
        <v>60000</v>
      </c>
      <c r="N239" s="1340" t="s">
        <v>541</v>
      </c>
      <c r="O239" s="1341"/>
      <c r="P239" s="1341"/>
      <c r="Q239" s="1341"/>
      <c r="R239" s="1341"/>
      <c r="S239" s="1341"/>
      <c r="T239" s="385"/>
      <c r="U239" s="385"/>
      <c r="V239" s="385"/>
      <c r="W239" s="385"/>
      <c r="X239" s="386"/>
    </row>
    <row r="240" spans="1:24" s="301" customFormat="1" ht="63">
      <c r="A240" s="54">
        <v>4</v>
      </c>
      <c r="B240" s="52" t="s">
        <v>41</v>
      </c>
      <c r="C240" s="52" t="s">
        <v>542</v>
      </c>
      <c r="D240" s="138"/>
      <c r="E240" s="138"/>
      <c r="F240" s="138"/>
      <c r="G240" s="138"/>
      <c r="H240" s="138"/>
      <c r="I240" s="138"/>
      <c r="J240" s="138"/>
      <c r="K240" s="138"/>
      <c r="L240" s="138"/>
      <c r="M240" s="92">
        <v>980000</v>
      </c>
      <c r="N240" s="1342" t="s">
        <v>543</v>
      </c>
      <c r="O240" s="1343"/>
      <c r="P240" s="1343"/>
      <c r="Q240" s="1343"/>
      <c r="R240" s="1343"/>
      <c r="S240" s="1343"/>
      <c r="T240" s="139"/>
      <c r="U240" s="139"/>
      <c r="V240" s="139"/>
      <c r="W240" s="139"/>
      <c r="X240" s="387"/>
    </row>
    <row r="241" spans="1:24" s="301" customFormat="1" ht="63">
      <c r="A241" s="54">
        <v>5</v>
      </c>
      <c r="B241" s="52" t="s">
        <v>41</v>
      </c>
      <c r="C241" s="52" t="s">
        <v>544</v>
      </c>
      <c r="D241" s="138"/>
      <c r="E241" s="138"/>
      <c r="F241" s="138"/>
      <c r="G241" s="138"/>
      <c r="H241" s="138"/>
      <c r="I241" s="138"/>
      <c r="J241" s="138"/>
      <c r="K241" s="138"/>
      <c r="L241" s="138"/>
      <c r="M241" s="92">
        <v>100000</v>
      </c>
      <c r="N241" s="1342" t="s">
        <v>543</v>
      </c>
      <c r="O241" s="1343"/>
      <c r="P241" s="1343"/>
      <c r="Q241" s="1343"/>
      <c r="R241" s="1343"/>
      <c r="S241" s="1343"/>
      <c r="T241" s="139"/>
      <c r="U241" s="139"/>
      <c r="V241" s="139"/>
      <c r="W241" s="139"/>
      <c r="X241" s="387"/>
    </row>
    <row r="242" spans="1:24" s="301" customFormat="1" ht="63">
      <c r="A242" s="54">
        <v>6</v>
      </c>
      <c r="B242" s="52" t="s">
        <v>41</v>
      </c>
      <c r="C242" s="52" t="s">
        <v>545</v>
      </c>
      <c r="D242" s="138"/>
      <c r="E242" s="138"/>
      <c r="F242" s="138"/>
      <c r="G242" s="138"/>
      <c r="H242" s="138"/>
      <c r="I242" s="138"/>
      <c r="J242" s="138"/>
      <c r="K242" s="138"/>
      <c r="L242" s="138"/>
      <c r="M242" s="92">
        <v>100000</v>
      </c>
      <c r="N242" s="1342" t="s">
        <v>543</v>
      </c>
      <c r="O242" s="1343"/>
      <c r="P242" s="1343"/>
      <c r="Q242" s="1343"/>
      <c r="R242" s="1343"/>
      <c r="S242" s="1343"/>
      <c r="T242" s="139"/>
      <c r="U242" s="139"/>
      <c r="V242" s="139"/>
      <c r="W242" s="139"/>
      <c r="X242" s="387"/>
    </row>
    <row r="243" spans="1:24" s="295" customFormat="1">
      <c r="A243" s="305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</row>
    <row r="244" spans="1:24" s="307" customFormat="1">
      <c r="A244" s="280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</sheetData>
  <mergeCells count="38">
    <mergeCell ref="P215:X215"/>
    <mergeCell ref="P219:X219"/>
    <mergeCell ref="N220:O220"/>
    <mergeCell ref="P218:X218"/>
    <mergeCell ref="N218:O218"/>
    <mergeCell ref="P216:X216"/>
    <mergeCell ref="W1:X1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P3:X3"/>
    <mergeCell ref="P4:S4"/>
    <mergeCell ref="T4:T5"/>
    <mergeCell ref="N221:O221"/>
    <mergeCell ref="N219:O219"/>
    <mergeCell ref="U4:W4"/>
    <mergeCell ref="X4:X5"/>
    <mergeCell ref="N242:S242"/>
    <mergeCell ref="A233:X233"/>
    <mergeCell ref="N238:S238"/>
    <mergeCell ref="N239:S239"/>
    <mergeCell ref="N240:S240"/>
    <mergeCell ref="N241:S241"/>
    <mergeCell ref="A213:X213"/>
    <mergeCell ref="N214:O214"/>
    <mergeCell ref="P214:X214"/>
    <mergeCell ref="N215:O215"/>
    <mergeCell ref="N216:O216"/>
    <mergeCell ref="N217:O217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80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6"/>
  <sheetViews>
    <sheetView workbookViewId="0">
      <selection activeCell="C98" sqref="C98"/>
    </sheetView>
  </sheetViews>
  <sheetFormatPr defaultColWidth="9" defaultRowHeight="21"/>
  <cols>
    <col min="1" max="1" width="7.75" style="280" customWidth="1"/>
    <col min="2" max="2" width="26.75" style="3" customWidth="1"/>
    <col min="3" max="3" width="71.125" style="3" customWidth="1"/>
    <col min="4" max="4" width="17" style="3" customWidth="1"/>
    <col min="5" max="235" width="9" style="3"/>
    <col min="236" max="236" width="6.25" style="3" customWidth="1"/>
    <col min="237" max="237" width="10.125" style="3" customWidth="1"/>
    <col min="238" max="238" width="29.375" style="3" customWidth="1"/>
    <col min="239" max="247" width="0" style="3" hidden="1" customWidth="1"/>
    <col min="248" max="248" width="14.75" style="3" customWidth="1"/>
    <col min="249" max="249" width="11" style="3" customWidth="1"/>
    <col min="250" max="250" width="11.125" style="3" customWidth="1"/>
    <col min="251" max="251" width="9.75" style="3" customWidth="1"/>
    <col min="252" max="252" width="10.375" style="3" customWidth="1"/>
    <col min="253" max="254" width="9.625" style="3" customWidth="1"/>
    <col min="255" max="255" width="10.875" style="3" customWidth="1"/>
    <col min="256" max="256" width="9.375" style="3" customWidth="1"/>
    <col min="257" max="257" width="10.25" style="3" customWidth="1"/>
    <col min="258" max="258" width="9.75" style="3" customWidth="1"/>
    <col min="259" max="259" width="9.25" style="3" customWidth="1"/>
    <col min="260" max="491" width="9" style="3"/>
    <col min="492" max="492" width="6.25" style="3" customWidth="1"/>
    <col min="493" max="493" width="10.125" style="3" customWidth="1"/>
    <col min="494" max="494" width="29.375" style="3" customWidth="1"/>
    <col min="495" max="503" width="0" style="3" hidden="1" customWidth="1"/>
    <col min="504" max="504" width="14.75" style="3" customWidth="1"/>
    <col min="505" max="505" width="11" style="3" customWidth="1"/>
    <col min="506" max="506" width="11.125" style="3" customWidth="1"/>
    <col min="507" max="507" width="9.75" style="3" customWidth="1"/>
    <col min="508" max="508" width="10.375" style="3" customWidth="1"/>
    <col min="509" max="510" width="9.625" style="3" customWidth="1"/>
    <col min="511" max="511" width="10.875" style="3" customWidth="1"/>
    <col min="512" max="512" width="9.375" style="3" customWidth="1"/>
    <col min="513" max="513" width="10.25" style="3" customWidth="1"/>
    <col min="514" max="514" width="9.75" style="3" customWidth="1"/>
    <col min="515" max="515" width="9.25" style="3" customWidth="1"/>
    <col min="516" max="747" width="9" style="3"/>
    <col min="748" max="748" width="6.25" style="3" customWidth="1"/>
    <col min="749" max="749" width="10.125" style="3" customWidth="1"/>
    <col min="750" max="750" width="29.375" style="3" customWidth="1"/>
    <col min="751" max="759" width="0" style="3" hidden="1" customWidth="1"/>
    <col min="760" max="760" width="14.75" style="3" customWidth="1"/>
    <col min="761" max="761" width="11" style="3" customWidth="1"/>
    <col min="762" max="762" width="11.125" style="3" customWidth="1"/>
    <col min="763" max="763" width="9.75" style="3" customWidth="1"/>
    <col min="764" max="764" width="10.375" style="3" customWidth="1"/>
    <col min="765" max="766" width="9.625" style="3" customWidth="1"/>
    <col min="767" max="767" width="10.875" style="3" customWidth="1"/>
    <col min="768" max="768" width="9.375" style="3" customWidth="1"/>
    <col min="769" max="769" width="10.25" style="3" customWidth="1"/>
    <col min="770" max="770" width="9.75" style="3" customWidth="1"/>
    <col min="771" max="771" width="9.25" style="3" customWidth="1"/>
    <col min="772" max="1003" width="9" style="3"/>
    <col min="1004" max="1004" width="6.25" style="3" customWidth="1"/>
    <col min="1005" max="1005" width="10.125" style="3" customWidth="1"/>
    <col min="1006" max="1006" width="29.375" style="3" customWidth="1"/>
    <col min="1007" max="1015" width="0" style="3" hidden="1" customWidth="1"/>
    <col min="1016" max="1016" width="14.75" style="3" customWidth="1"/>
    <col min="1017" max="1017" width="11" style="3" customWidth="1"/>
    <col min="1018" max="1018" width="11.125" style="3" customWidth="1"/>
    <col min="1019" max="1019" width="9.75" style="3" customWidth="1"/>
    <col min="1020" max="1020" width="10.375" style="3" customWidth="1"/>
    <col min="1021" max="1022" width="9.625" style="3" customWidth="1"/>
    <col min="1023" max="1023" width="10.875" style="3" customWidth="1"/>
    <col min="1024" max="1024" width="9.375" style="3" customWidth="1"/>
    <col min="1025" max="1025" width="10.25" style="3" customWidth="1"/>
    <col min="1026" max="1026" width="9.75" style="3" customWidth="1"/>
    <col min="1027" max="1027" width="9.25" style="3" customWidth="1"/>
    <col min="1028" max="1259" width="9" style="3"/>
    <col min="1260" max="1260" width="6.25" style="3" customWidth="1"/>
    <col min="1261" max="1261" width="10.125" style="3" customWidth="1"/>
    <col min="1262" max="1262" width="29.375" style="3" customWidth="1"/>
    <col min="1263" max="1271" width="0" style="3" hidden="1" customWidth="1"/>
    <col min="1272" max="1272" width="14.75" style="3" customWidth="1"/>
    <col min="1273" max="1273" width="11" style="3" customWidth="1"/>
    <col min="1274" max="1274" width="11.125" style="3" customWidth="1"/>
    <col min="1275" max="1275" width="9.75" style="3" customWidth="1"/>
    <col min="1276" max="1276" width="10.375" style="3" customWidth="1"/>
    <col min="1277" max="1278" width="9.625" style="3" customWidth="1"/>
    <col min="1279" max="1279" width="10.875" style="3" customWidth="1"/>
    <col min="1280" max="1280" width="9.375" style="3" customWidth="1"/>
    <col min="1281" max="1281" width="10.25" style="3" customWidth="1"/>
    <col min="1282" max="1282" width="9.75" style="3" customWidth="1"/>
    <col min="1283" max="1283" width="9.25" style="3" customWidth="1"/>
    <col min="1284" max="1515" width="9" style="3"/>
    <col min="1516" max="1516" width="6.25" style="3" customWidth="1"/>
    <col min="1517" max="1517" width="10.125" style="3" customWidth="1"/>
    <col min="1518" max="1518" width="29.375" style="3" customWidth="1"/>
    <col min="1519" max="1527" width="0" style="3" hidden="1" customWidth="1"/>
    <col min="1528" max="1528" width="14.75" style="3" customWidth="1"/>
    <col min="1529" max="1529" width="11" style="3" customWidth="1"/>
    <col min="1530" max="1530" width="11.125" style="3" customWidth="1"/>
    <col min="1531" max="1531" width="9.75" style="3" customWidth="1"/>
    <col min="1532" max="1532" width="10.375" style="3" customWidth="1"/>
    <col min="1533" max="1534" width="9.625" style="3" customWidth="1"/>
    <col min="1535" max="1535" width="10.875" style="3" customWidth="1"/>
    <col min="1536" max="1536" width="9.375" style="3" customWidth="1"/>
    <col min="1537" max="1537" width="10.25" style="3" customWidth="1"/>
    <col min="1538" max="1538" width="9.75" style="3" customWidth="1"/>
    <col min="1539" max="1539" width="9.25" style="3" customWidth="1"/>
    <col min="1540" max="1771" width="9" style="3"/>
    <col min="1772" max="1772" width="6.25" style="3" customWidth="1"/>
    <col min="1773" max="1773" width="10.125" style="3" customWidth="1"/>
    <col min="1774" max="1774" width="29.375" style="3" customWidth="1"/>
    <col min="1775" max="1783" width="0" style="3" hidden="1" customWidth="1"/>
    <col min="1784" max="1784" width="14.75" style="3" customWidth="1"/>
    <col min="1785" max="1785" width="11" style="3" customWidth="1"/>
    <col min="1786" max="1786" width="11.125" style="3" customWidth="1"/>
    <col min="1787" max="1787" width="9.75" style="3" customWidth="1"/>
    <col min="1788" max="1788" width="10.375" style="3" customWidth="1"/>
    <col min="1789" max="1790" width="9.625" style="3" customWidth="1"/>
    <col min="1791" max="1791" width="10.875" style="3" customWidth="1"/>
    <col min="1792" max="1792" width="9.375" style="3" customWidth="1"/>
    <col min="1793" max="1793" width="10.25" style="3" customWidth="1"/>
    <col min="1794" max="1794" width="9.75" style="3" customWidth="1"/>
    <col min="1795" max="1795" width="9.25" style="3" customWidth="1"/>
    <col min="1796" max="2027" width="9" style="3"/>
    <col min="2028" max="2028" width="6.25" style="3" customWidth="1"/>
    <col min="2029" max="2029" width="10.125" style="3" customWidth="1"/>
    <col min="2030" max="2030" width="29.375" style="3" customWidth="1"/>
    <col min="2031" max="2039" width="0" style="3" hidden="1" customWidth="1"/>
    <col min="2040" max="2040" width="14.75" style="3" customWidth="1"/>
    <col min="2041" max="2041" width="11" style="3" customWidth="1"/>
    <col min="2042" max="2042" width="11.125" style="3" customWidth="1"/>
    <col min="2043" max="2043" width="9.75" style="3" customWidth="1"/>
    <col min="2044" max="2044" width="10.375" style="3" customWidth="1"/>
    <col min="2045" max="2046" width="9.625" style="3" customWidth="1"/>
    <col min="2047" max="2047" width="10.875" style="3" customWidth="1"/>
    <col min="2048" max="2048" width="9.375" style="3" customWidth="1"/>
    <col min="2049" max="2049" width="10.25" style="3" customWidth="1"/>
    <col min="2050" max="2050" width="9.75" style="3" customWidth="1"/>
    <col min="2051" max="2051" width="9.25" style="3" customWidth="1"/>
    <col min="2052" max="2283" width="9" style="3"/>
    <col min="2284" max="2284" width="6.25" style="3" customWidth="1"/>
    <col min="2285" max="2285" width="10.125" style="3" customWidth="1"/>
    <col min="2286" max="2286" width="29.375" style="3" customWidth="1"/>
    <col min="2287" max="2295" width="0" style="3" hidden="1" customWidth="1"/>
    <col min="2296" max="2296" width="14.75" style="3" customWidth="1"/>
    <col min="2297" max="2297" width="11" style="3" customWidth="1"/>
    <col min="2298" max="2298" width="11.125" style="3" customWidth="1"/>
    <col min="2299" max="2299" width="9.75" style="3" customWidth="1"/>
    <col min="2300" max="2300" width="10.375" style="3" customWidth="1"/>
    <col min="2301" max="2302" width="9.625" style="3" customWidth="1"/>
    <col min="2303" max="2303" width="10.875" style="3" customWidth="1"/>
    <col min="2304" max="2304" width="9.375" style="3" customWidth="1"/>
    <col min="2305" max="2305" width="10.25" style="3" customWidth="1"/>
    <col min="2306" max="2306" width="9.75" style="3" customWidth="1"/>
    <col min="2307" max="2307" width="9.25" style="3" customWidth="1"/>
    <col min="2308" max="2539" width="9" style="3"/>
    <col min="2540" max="2540" width="6.25" style="3" customWidth="1"/>
    <col min="2541" max="2541" width="10.125" style="3" customWidth="1"/>
    <col min="2542" max="2542" width="29.375" style="3" customWidth="1"/>
    <col min="2543" max="2551" width="0" style="3" hidden="1" customWidth="1"/>
    <col min="2552" max="2552" width="14.75" style="3" customWidth="1"/>
    <col min="2553" max="2553" width="11" style="3" customWidth="1"/>
    <col min="2554" max="2554" width="11.125" style="3" customWidth="1"/>
    <col min="2555" max="2555" width="9.75" style="3" customWidth="1"/>
    <col min="2556" max="2556" width="10.375" style="3" customWidth="1"/>
    <col min="2557" max="2558" width="9.625" style="3" customWidth="1"/>
    <col min="2559" max="2559" width="10.875" style="3" customWidth="1"/>
    <col min="2560" max="2560" width="9.375" style="3" customWidth="1"/>
    <col min="2561" max="2561" width="10.25" style="3" customWidth="1"/>
    <col min="2562" max="2562" width="9.75" style="3" customWidth="1"/>
    <col min="2563" max="2563" width="9.25" style="3" customWidth="1"/>
    <col min="2564" max="2795" width="9" style="3"/>
    <col min="2796" max="2796" width="6.25" style="3" customWidth="1"/>
    <col min="2797" max="2797" width="10.125" style="3" customWidth="1"/>
    <col min="2798" max="2798" width="29.375" style="3" customWidth="1"/>
    <col min="2799" max="2807" width="0" style="3" hidden="1" customWidth="1"/>
    <col min="2808" max="2808" width="14.75" style="3" customWidth="1"/>
    <col min="2809" max="2809" width="11" style="3" customWidth="1"/>
    <col min="2810" max="2810" width="11.125" style="3" customWidth="1"/>
    <col min="2811" max="2811" width="9.75" style="3" customWidth="1"/>
    <col min="2812" max="2812" width="10.375" style="3" customWidth="1"/>
    <col min="2813" max="2814" width="9.625" style="3" customWidth="1"/>
    <col min="2815" max="2815" width="10.875" style="3" customWidth="1"/>
    <col min="2816" max="2816" width="9.375" style="3" customWidth="1"/>
    <col min="2817" max="2817" width="10.25" style="3" customWidth="1"/>
    <col min="2818" max="2818" width="9.75" style="3" customWidth="1"/>
    <col min="2819" max="2819" width="9.25" style="3" customWidth="1"/>
    <col min="2820" max="3051" width="9" style="3"/>
    <col min="3052" max="3052" width="6.25" style="3" customWidth="1"/>
    <col min="3053" max="3053" width="10.125" style="3" customWidth="1"/>
    <col min="3054" max="3054" width="29.375" style="3" customWidth="1"/>
    <col min="3055" max="3063" width="0" style="3" hidden="1" customWidth="1"/>
    <col min="3064" max="3064" width="14.75" style="3" customWidth="1"/>
    <col min="3065" max="3065" width="11" style="3" customWidth="1"/>
    <col min="3066" max="3066" width="11.125" style="3" customWidth="1"/>
    <col min="3067" max="3067" width="9.75" style="3" customWidth="1"/>
    <col min="3068" max="3068" width="10.375" style="3" customWidth="1"/>
    <col min="3069" max="3070" width="9.625" style="3" customWidth="1"/>
    <col min="3071" max="3071" width="10.875" style="3" customWidth="1"/>
    <col min="3072" max="3072" width="9.375" style="3" customWidth="1"/>
    <col min="3073" max="3073" width="10.25" style="3" customWidth="1"/>
    <col min="3074" max="3074" width="9.75" style="3" customWidth="1"/>
    <col min="3075" max="3075" width="9.25" style="3" customWidth="1"/>
    <col min="3076" max="3307" width="9" style="3"/>
    <col min="3308" max="3308" width="6.25" style="3" customWidth="1"/>
    <col min="3309" max="3309" width="10.125" style="3" customWidth="1"/>
    <col min="3310" max="3310" width="29.375" style="3" customWidth="1"/>
    <col min="3311" max="3319" width="0" style="3" hidden="1" customWidth="1"/>
    <col min="3320" max="3320" width="14.75" style="3" customWidth="1"/>
    <col min="3321" max="3321" width="11" style="3" customWidth="1"/>
    <col min="3322" max="3322" width="11.125" style="3" customWidth="1"/>
    <col min="3323" max="3323" width="9.75" style="3" customWidth="1"/>
    <col min="3324" max="3324" width="10.375" style="3" customWidth="1"/>
    <col min="3325" max="3326" width="9.625" style="3" customWidth="1"/>
    <col min="3327" max="3327" width="10.875" style="3" customWidth="1"/>
    <col min="3328" max="3328" width="9.375" style="3" customWidth="1"/>
    <col min="3329" max="3329" width="10.25" style="3" customWidth="1"/>
    <col min="3330" max="3330" width="9.75" style="3" customWidth="1"/>
    <col min="3331" max="3331" width="9.25" style="3" customWidth="1"/>
    <col min="3332" max="3563" width="9" style="3"/>
    <col min="3564" max="3564" width="6.25" style="3" customWidth="1"/>
    <col min="3565" max="3565" width="10.125" style="3" customWidth="1"/>
    <col min="3566" max="3566" width="29.375" style="3" customWidth="1"/>
    <col min="3567" max="3575" width="0" style="3" hidden="1" customWidth="1"/>
    <col min="3576" max="3576" width="14.75" style="3" customWidth="1"/>
    <col min="3577" max="3577" width="11" style="3" customWidth="1"/>
    <col min="3578" max="3578" width="11.125" style="3" customWidth="1"/>
    <col min="3579" max="3579" width="9.75" style="3" customWidth="1"/>
    <col min="3580" max="3580" width="10.375" style="3" customWidth="1"/>
    <col min="3581" max="3582" width="9.625" style="3" customWidth="1"/>
    <col min="3583" max="3583" width="10.875" style="3" customWidth="1"/>
    <col min="3584" max="3584" width="9.375" style="3" customWidth="1"/>
    <col min="3585" max="3585" width="10.25" style="3" customWidth="1"/>
    <col min="3586" max="3586" width="9.75" style="3" customWidth="1"/>
    <col min="3587" max="3587" width="9.25" style="3" customWidth="1"/>
    <col min="3588" max="3819" width="9" style="3"/>
    <col min="3820" max="3820" width="6.25" style="3" customWidth="1"/>
    <col min="3821" max="3821" width="10.125" style="3" customWidth="1"/>
    <col min="3822" max="3822" width="29.375" style="3" customWidth="1"/>
    <col min="3823" max="3831" width="0" style="3" hidden="1" customWidth="1"/>
    <col min="3832" max="3832" width="14.75" style="3" customWidth="1"/>
    <col min="3833" max="3833" width="11" style="3" customWidth="1"/>
    <col min="3834" max="3834" width="11.125" style="3" customWidth="1"/>
    <col min="3835" max="3835" width="9.75" style="3" customWidth="1"/>
    <col min="3836" max="3836" width="10.375" style="3" customWidth="1"/>
    <col min="3837" max="3838" width="9.625" style="3" customWidth="1"/>
    <col min="3839" max="3839" width="10.875" style="3" customWidth="1"/>
    <col min="3840" max="3840" width="9.375" style="3" customWidth="1"/>
    <col min="3841" max="3841" width="10.25" style="3" customWidth="1"/>
    <col min="3842" max="3842" width="9.75" style="3" customWidth="1"/>
    <col min="3843" max="3843" width="9.25" style="3" customWidth="1"/>
    <col min="3844" max="4075" width="9" style="3"/>
    <col min="4076" max="4076" width="6.25" style="3" customWidth="1"/>
    <col min="4077" max="4077" width="10.125" style="3" customWidth="1"/>
    <col min="4078" max="4078" width="29.375" style="3" customWidth="1"/>
    <col min="4079" max="4087" width="0" style="3" hidden="1" customWidth="1"/>
    <col min="4088" max="4088" width="14.75" style="3" customWidth="1"/>
    <col min="4089" max="4089" width="11" style="3" customWidth="1"/>
    <col min="4090" max="4090" width="11.125" style="3" customWidth="1"/>
    <col min="4091" max="4091" width="9.75" style="3" customWidth="1"/>
    <col min="4092" max="4092" width="10.375" style="3" customWidth="1"/>
    <col min="4093" max="4094" width="9.625" style="3" customWidth="1"/>
    <col min="4095" max="4095" width="10.875" style="3" customWidth="1"/>
    <col min="4096" max="4096" width="9.375" style="3" customWidth="1"/>
    <col min="4097" max="4097" width="10.25" style="3" customWidth="1"/>
    <col min="4098" max="4098" width="9.75" style="3" customWidth="1"/>
    <col min="4099" max="4099" width="9.25" style="3" customWidth="1"/>
    <col min="4100" max="4331" width="9" style="3"/>
    <col min="4332" max="4332" width="6.25" style="3" customWidth="1"/>
    <col min="4333" max="4333" width="10.125" style="3" customWidth="1"/>
    <col min="4334" max="4334" width="29.375" style="3" customWidth="1"/>
    <col min="4335" max="4343" width="0" style="3" hidden="1" customWidth="1"/>
    <col min="4344" max="4344" width="14.75" style="3" customWidth="1"/>
    <col min="4345" max="4345" width="11" style="3" customWidth="1"/>
    <col min="4346" max="4346" width="11.125" style="3" customWidth="1"/>
    <col min="4347" max="4347" width="9.75" style="3" customWidth="1"/>
    <col min="4348" max="4348" width="10.375" style="3" customWidth="1"/>
    <col min="4349" max="4350" width="9.625" style="3" customWidth="1"/>
    <col min="4351" max="4351" width="10.875" style="3" customWidth="1"/>
    <col min="4352" max="4352" width="9.375" style="3" customWidth="1"/>
    <col min="4353" max="4353" width="10.25" style="3" customWidth="1"/>
    <col min="4354" max="4354" width="9.75" style="3" customWidth="1"/>
    <col min="4355" max="4355" width="9.25" style="3" customWidth="1"/>
    <col min="4356" max="4587" width="9" style="3"/>
    <col min="4588" max="4588" width="6.25" style="3" customWidth="1"/>
    <col min="4589" max="4589" width="10.125" style="3" customWidth="1"/>
    <col min="4590" max="4590" width="29.375" style="3" customWidth="1"/>
    <col min="4591" max="4599" width="0" style="3" hidden="1" customWidth="1"/>
    <col min="4600" max="4600" width="14.75" style="3" customWidth="1"/>
    <col min="4601" max="4601" width="11" style="3" customWidth="1"/>
    <col min="4602" max="4602" width="11.125" style="3" customWidth="1"/>
    <col min="4603" max="4603" width="9.75" style="3" customWidth="1"/>
    <col min="4604" max="4604" width="10.375" style="3" customWidth="1"/>
    <col min="4605" max="4606" width="9.625" style="3" customWidth="1"/>
    <col min="4607" max="4607" width="10.875" style="3" customWidth="1"/>
    <col min="4608" max="4608" width="9.375" style="3" customWidth="1"/>
    <col min="4609" max="4609" width="10.25" style="3" customWidth="1"/>
    <col min="4610" max="4610" width="9.75" style="3" customWidth="1"/>
    <col min="4611" max="4611" width="9.25" style="3" customWidth="1"/>
    <col min="4612" max="4843" width="9" style="3"/>
    <col min="4844" max="4844" width="6.25" style="3" customWidth="1"/>
    <col min="4845" max="4845" width="10.125" style="3" customWidth="1"/>
    <col min="4846" max="4846" width="29.375" style="3" customWidth="1"/>
    <col min="4847" max="4855" width="0" style="3" hidden="1" customWidth="1"/>
    <col min="4856" max="4856" width="14.75" style="3" customWidth="1"/>
    <col min="4857" max="4857" width="11" style="3" customWidth="1"/>
    <col min="4858" max="4858" width="11.125" style="3" customWidth="1"/>
    <col min="4859" max="4859" width="9.75" style="3" customWidth="1"/>
    <col min="4860" max="4860" width="10.375" style="3" customWidth="1"/>
    <col min="4861" max="4862" width="9.625" style="3" customWidth="1"/>
    <col min="4863" max="4863" width="10.875" style="3" customWidth="1"/>
    <col min="4864" max="4864" width="9.375" style="3" customWidth="1"/>
    <col min="4865" max="4865" width="10.25" style="3" customWidth="1"/>
    <col min="4866" max="4866" width="9.75" style="3" customWidth="1"/>
    <col min="4867" max="4867" width="9.25" style="3" customWidth="1"/>
    <col min="4868" max="5099" width="9" style="3"/>
    <col min="5100" max="5100" width="6.25" style="3" customWidth="1"/>
    <col min="5101" max="5101" width="10.125" style="3" customWidth="1"/>
    <col min="5102" max="5102" width="29.375" style="3" customWidth="1"/>
    <col min="5103" max="5111" width="0" style="3" hidden="1" customWidth="1"/>
    <col min="5112" max="5112" width="14.75" style="3" customWidth="1"/>
    <col min="5113" max="5113" width="11" style="3" customWidth="1"/>
    <col min="5114" max="5114" width="11.125" style="3" customWidth="1"/>
    <col min="5115" max="5115" width="9.75" style="3" customWidth="1"/>
    <col min="5116" max="5116" width="10.375" style="3" customWidth="1"/>
    <col min="5117" max="5118" width="9.625" style="3" customWidth="1"/>
    <col min="5119" max="5119" width="10.875" style="3" customWidth="1"/>
    <col min="5120" max="5120" width="9.375" style="3" customWidth="1"/>
    <col min="5121" max="5121" width="10.25" style="3" customWidth="1"/>
    <col min="5122" max="5122" width="9.75" style="3" customWidth="1"/>
    <col min="5123" max="5123" width="9.25" style="3" customWidth="1"/>
    <col min="5124" max="5355" width="9" style="3"/>
    <col min="5356" max="5356" width="6.25" style="3" customWidth="1"/>
    <col min="5357" max="5357" width="10.125" style="3" customWidth="1"/>
    <col min="5358" max="5358" width="29.375" style="3" customWidth="1"/>
    <col min="5359" max="5367" width="0" style="3" hidden="1" customWidth="1"/>
    <col min="5368" max="5368" width="14.75" style="3" customWidth="1"/>
    <col min="5369" max="5369" width="11" style="3" customWidth="1"/>
    <col min="5370" max="5370" width="11.125" style="3" customWidth="1"/>
    <col min="5371" max="5371" width="9.75" style="3" customWidth="1"/>
    <col min="5372" max="5372" width="10.375" style="3" customWidth="1"/>
    <col min="5373" max="5374" width="9.625" style="3" customWidth="1"/>
    <col min="5375" max="5375" width="10.875" style="3" customWidth="1"/>
    <col min="5376" max="5376" width="9.375" style="3" customWidth="1"/>
    <col min="5377" max="5377" width="10.25" style="3" customWidth="1"/>
    <col min="5378" max="5378" width="9.75" style="3" customWidth="1"/>
    <col min="5379" max="5379" width="9.25" style="3" customWidth="1"/>
    <col min="5380" max="5611" width="9" style="3"/>
    <col min="5612" max="5612" width="6.25" style="3" customWidth="1"/>
    <col min="5613" max="5613" width="10.125" style="3" customWidth="1"/>
    <col min="5614" max="5614" width="29.375" style="3" customWidth="1"/>
    <col min="5615" max="5623" width="0" style="3" hidden="1" customWidth="1"/>
    <col min="5624" max="5624" width="14.75" style="3" customWidth="1"/>
    <col min="5625" max="5625" width="11" style="3" customWidth="1"/>
    <col min="5626" max="5626" width="11.125" style="3" customWidth="1"/>
    <col min="5627" max="5627" width="9.75" style="3" customWidth="1"/>
    <col min="5628" max="5628" width="10.375" style="3" customWidth="1"/>
    <col min="5629" max="5630" width="9.625" style="3" customWidth="1"/>
    <col min="5631" max="5631" width="10.875" style="3" customWidth="1"/>
    <col min="5632" max="5632" width="9.375" style="3" customWidth="1"/>
    <col min="5633" max="5633" width="10.25" style="3" customWidth="1"/>
    <col min="5634" max="5634" width="9.75" style="3" customWidth="1"/>
    <col min="5635" max="5635" width="9.25" style="3" customWidth="1"/>
    <col min="5636" max="5867" width="9" style="3"/>
    <col min="5868" max="5868" width="6.25" style="3" customWidth="1"/>
    <col min="5869" max="5869" width="10.125" style="3" customWidth="1"/>
    <col min="5870" max="5870" width="29.375" style="3" customWidth="1"/>
    <col min="5871" max="5879" width="0" style="3" hidden="1" customWidth="1"/>
    <col min="5880" max="5880" width="14.75" style="3" customWidth="1"/>
    <col min="5881" max="5881" width="11" style="3" customWidth="1"/>
    <col min="5882" max="5882" width="11.125" style="3" customWidth="1"/>
    <col min="5883" max="5883" width="9.75" style="3" customWidth="1"/>
    <col min="5884" max="5884" width="10.375" style="3" customWidth="1"/>
    <col min="5885" max="5886" width="9.625" style="3" customWidth="1"/>
    <col min="5887" max="5887" width="10.875" style="3" customWidth="1"/>
    <col min="5888" max="5888" width="9.375" style="3" customWidth="1"/>
    <col min="5889" max="5889" width="10.25" style="3" customWidth="1"/>
    <col min="5890" max="5890" width="9.75" style="3" customWidth="1"/>
    <col min="5891" max="5891" width="9.25" style="3" customWidth="1"/>
    <col min="5892" max="6123" width="9" style="3"/>
    <col min="6124" max="6124" width="6.25" style="3" customWidth="1"/>
    <col min="6125" max="6125" width="10.125" style="3" customWidth="1"/>
    <col min="6126" max="6126" width="29.375" style="3" customWidth="1"/>
    <col min="6127" max="6135" width="0" style="3" hidden="1" customWidth="1"/>
    <col min="6136" max="6136" width="14.75" style="3" customWidth="1"/>
    <col min="6137" max="6137" width="11" style="3" customWidth="1"/>
    <col min="6138" max="6138" width="11.125" style="3" customWidth="1"/>
    <col min="6139" max="6139" width="9.75" style="3" customWidth="1"/>
    <col min="6140" max="6140" width="10.375" style="3" customWidth="1"/>
    <col min="6141" max="6142" width="9.625" style="3" customWidth="1"/>
    <col min="6143" max="6143" width="10.875" style="3" customWidth="1"/>
    <col min="6144" max="6144" width="9.375" style="3" customWidth="1"/>
    <col min="6145" max="6145" width="10.25" style="3" customWidth="1"/>
    <col min="6146" max="6146" width="9.75" style="3" customWidth="1"/>
    <col min="6147" max="6147" width="9.25" style="3" customWidth="1"/>
    <col min="6148" max="6379" width="9" style="3"/>
    <col min="6380" max="6380" width="6.25" style="3" customWidth="1"/>
    <col min="6381" max="6381" width="10.125" style="3" customWidth="1"/>
    <col min="6382" max="6382" width="29.375" style="3" customWidth="1"/>
    <col min="6383" max="6391" width="0" style="3" hidden="1" customWidth="1"/>
    <col min="6392" max="6392" width="14.75" style="3" customWidth="1"/>
    <col min="6393" max="6393" width="11" style="3" customWidth="1"/>
    <col min="6394" max="6394" width="11.125" style="3" customWidth="1"/>
    <col min="6395" max="6395" width="9.75" style="3" customWidth="1"/>
    <col min="6396" max="6396" width="10.375" style="3" customWidth="1"/>
    <col min="6397" max="6398" width="9.625" style="3" customWidth="1"/>
    <col min="6399" max="6399" width="10.875" style="3" customWidth="1"/>
    <col min="6400" max="6400" width="9.375" style="3" customWidth="1"/>
    <col min="6401" max="6401" width="10.25" style="3" customWidth="1"/>
    <col min="6402" max="6402" width="9.75" style="3" customWidth="1"/>
    <col min="6403" max="6403" width="9.25" style="3" customWidth="1"/>
    <col min="6404" max="6635" width="9" style="3"/>
    <col min="6636" max="6636" width="6.25" style="3" customWidth="1"/>
    <col min="6637" max="6637" width="10.125" style="3" customWidth="1"/>
    <col min="6638" max="6638" width="29.375" style="3" customWidth="1"/>
    <col min="6639" max="6647" width="0" style="3" hidden="1" customWidth="1"/>
    <col min="6648" max="6648" width="14.75" style="3" customWidth="1"/>
    <col min="6649" max="6649" width="11" style="3" customWidth="1"/>
    <col min="6650" max="6650" width="11.125" style="3" customWidth="1"/>
    <col min="6651" max="6651" width="9.75" style="3" customWidth="1"/>
    <col min="6652" max="6652" width="10.375" style="3" customWidth="1"/>
    <col min="6653" max="6654" width="9.625" style="3" customWidth="1"/>
    <col min="6655" max="6655" width="10.875" style="3" customWidth="1"/>
    <col min="6656" max="6656" width="9.375" style="3" customWidth="1"/>
    <col min="6657" max="6657" width="10.25" style="3" customWidth="1"/>
    <col min="6658" max="6658" width="9.75" style="3" customWidth="1"/>
    <col min="6659" max="6659" width="9.25" style="3" customWidth="1"/>
    <col min="6660" max="6891" width="9" style="3"/>
    <col min="6892" max="6892" width="6.25" style="3" customWidth="1"/>
    <col min="6893" max="6893" width="10.125" style="3" customWidth="1"/>
    <col min="6894" max="6894" width="29.375" style="3" customWidth="1"/>
    <col min="6895" max="6903" width="0" style="3" hidden="1" customWidth="1"/>
    <col min="6904" max="6904" width="14.75" style="3" customWidth="1"/>
    <col min="6905" max="6905" width="11" style="3" customWidth="1"/>
    <col min="6906" max="6906" width="11.125" style="3" customWidth="1"/>
    <col min="6907" max="6907" width="9.75" style="3" customWidth="1"/>
    <col min="6908" max="6908" width="10.375" style="3" customWidth="1"/>
    <col min="6909" max="6910" width="9.625" style="3" customWidth="1"/>
    <col min="6911" max="6911" width="10.875" style="3" customWidth="1"/>
    <col min="6912" max="6912" width="9.375" style="3" customWidth="1"/>
    <col min="6913" max="6913" width="10.25" style="3" customWidth="1"/>
    <col min="6914" max="6914" width="9.75" style="3" customWidth="1"/>
    <col min="6915" max="6915" width="9.25" style="3" customWidth="1"/>
    <col min="6916" max="7147" width="9" style="3"/>
    <col min="7148" max="7148" width="6.25" style="3" customWidth="1"/>
    <col min="7149" max="7149" width="10.125" style="3" customWidth="1"/>
    <col min="7150" max="7150" width="29.375" style="3" customWidth="1"/>
    <col min="7151" max="7159" width="0" style="3" hidden="1" customWidth="1"/>
    <col min="7160" max="7160" width="14.75" style="3" customWidth="1"/>
    <col min="7161" max="7161" width="11" style="3" customWidth="1"/>
    <col min="7162" max="7162" width="11.125" style="3" customWidth="1"/>
    <col min="7163" max="7163" width="9.75" style="3" customWidth="1"/>
    <col min="7164" max="7164" width="10.375" style="3" customWidth="1"/>
    <col min="7165" max="7166" width="9.625" style="3" customWidth="1"/>
    <col min="7167" max="7167" width="10.875" style="3" customWidth="1"/>
    <col min="7168" max="7168" width="9.375" style="3" customWidth="1"/>
    <col min="7169" max="7169" width="10.25" style="3" customWidth="1"/>
    <col min="7170" max="7170" width="9.75" style="3" customWidth="1"/>
    <col min="7171" max="7171" width="9.25" style="3" customWidth="1"/>
    <col min="7172" max="7403" width="9" style="3"/>
    <col min="7404" max="7404" width="6.25" style="3" customWidth="1"/>
    <col min="7405" max="7405" width="10.125" style="3" customWidth="1"/>
    <col min="7406" max="7406" width="29.375" style="3" customWidth="1"/>
    <col min="7407" max="7415" width="0" style="3" hidden="1" customWidth="1"/>
    <col min="7416" max="7416" width="14.75" style="3" customWidth="1"/>
    <col min="7417" max="7417" width="11" style="3" customWidth="1"/>
    <col min="7418" max="7418" width="11.125" style="3" customWidth="1"/>
    <col min="7419" max="7419" width="9.75" style="3" customWidth="1"/>
    <col min="7420" max="7420" width="10.375" style="3" customWidth="1"/>
    <col min="7421" max="7422" width="9.625" style="3" customWidth="1"/>
    <col min="7423" max="7423" width="10.875" style="3" customWidth="1"/>
    <col min="7424" max="7424" width="9.375" style="3" customWidth="1"/>
    <col min="7425" max="7425" width="10.25" style="3" customWidth="1"/>
    <col min="7426" max="7426" width="9.75" style="3" customWidth="1"/>
    <col min="7427" max="7427" width="9.25" style="3" customWidth="1"/>
    <col min="7428" max="7659" width="9" style="3"/>
    <col min="7660" max="7660" width="6.25" style="3" customWidth="1"/>
    <col min="7661" max="7661" width="10.125" style="3" customWidth="1"/>
    <col min="7662" max="7662" width="29.375" style="3" customWidth="1"/>
    <col min="7663" max="7671" width="0" style="3" hidden="1" customWidth="1"/>
    <col min="7672" max="7672" width="14.75" style="3" customWidth="1"/>
    <col min="7673" max="7673" width="11" style="3" customWidth="1"/>
    <col min="7674" max="7674" width="11.125" style="3" customWidth="1"/>
    <col min="7675" max="7675" width="9.75" style="3" customWidth="1"/>
    <col min="7676" max="7676" width="10.375" style="3" customWidth="1"/>
    <col min="7677" max="7678" width="9.625" style="3" customWidth="1"/>
    <col min="7679" max="7679" width="10.875" style="3" customWidth="1"/>
    <col min="7680" max="7680" width="9.375" style="3" customWidth="1"/>
    <col min="7681" max="7681" width="10.25" style="3" customWidth="1"/>
    <col min="7682" max="7682" width="9.75" style="3" customWidth="1"/>
    <col min="7683" max="7683" width="9.25" style="3" customWidth="1"/>
    <col min="7684" max="7915" width="9" style="3"/>
    <col min="7916" max="7916" width="6.25" style="3" customWidth="1"/>
    <col min="7917" max="7917" width="10.125" style="3" customWidth="1"/>
    <col min="7918" max="7918" width="29.375" style="3" customWidth="1"/>
    <col min="7919" max="7927" width="0" style="3" hidden="1" customWidth="1"/>
    <col min="7928" max="7928" width="14.75" style="3" customWidth="1"/>
    <col min="7929" max="7929" width="11" style="3" customWidth="1"/>
    <col min="7930" max="7930" width="11.125" style="3" customWidth="1"/>
    <col min="7931" max="7931" width="9.75" style="3" customWidth="1"/>
    <col min="7932" max="7932" width="10.375" style="3" customWidth="1"/>
    <col min="7933" max="7934" width="9.625" style="3" customWidth="1"/>
    <col min="7935" max="7935" width="10.875" style="3" customWidth="1"/>
    <col min="7936" max="7936" width="9.375" style="3" customWidth="1"/>
    <col min="7937" max="7937" width="10.25" style="3" customWidth="1"/>
    <col min="7938" max="7938" width="9.75" style="3" customWidth="1"/>
    <col min="7939" max="7939" width="9.25" style="3" customWidth="1"/>
    <col min="7940" max="8171" width="9" style="3"/>
    <col min="8172" max="8172" width="6.25" style="3" customWidth="1"/>
    <col min="8173" max="8173" width="10.125" style="3" customWidth="1"/>
    <col min="8174" max="8174" width="29.375" style="3" customWidth="1"/>
    <col min="8175" max="8183" width="0" style="3" hidden="1" customWidth="1"/>
    <col min="8184" max="8184" width="14.75" style="3" customWidth="1"/>
    <col min="8185" max="8185" width="11" style="3" customWidth="1"/>
    <col min="8186" max="8186" width="11.125" style="3" customWidth="1"/>
    <col min="8187" max="8187" width="9.75" style="3" customWidth="1"/>
    <col min="8188" max="8188" width="10.375" style="3" customWidth="1"/>
    <col min="8189" max="8190" width="9.625" style="3" customWidth="1"/>
    <col min="8191" max="8191" width="10.875" style="3" customWidth="1"/>
    <col min="8192" max="8192" width="9.375" style="3" customWidth="1"/>
    <col min="8193" max="8193" width="10.25" style="3" customWidth="1"/>
    <col min="8194" max="8194" width="9.75" style="3" customWidth="1"/>
    <col min="8195" max="8195" width="9.25" style="3" customWidth="1"/>
    <col min="8196" max="8427" width="9" style="3"/>
    <col min="8428" max="8428" width="6.25" style="3" customWidth="1"/>
    <col min="8429" max="8429" width="10.125" style="3" customWidth="1"/>
    <col min="8430" max="8430" width="29.375" style="3" customWidth="1"/>
    <col min="8431" max="8439" width="0" style="3" hidden="1" customWidth="1"/>
    <col min="8440" max="8440" width="14.75" style="3" customWidth="1"/>
    <col min="8441" max="8441" width="11" style="3" customWidth="1"/>
    <col min="8442" max="8442" width="11.125" style="3" customWidth="1"/>
    <col min="8443" max="8443" width="9.75" style="3" customWidth="1"/>
    <col min="8444" max="8444" width="10.375" style="3" customWidth="1"/>
    <col min="8445" max="8446" width="9.625" style="3" customWidth="1"/>
    <col min="8447" max="8447" width="10.875" style="3" customWidth="1"/>
    <col min="8448" max="8448" width="9.375" style="3" customWidth="1"/>
    <col min="8449" max="8449" width="10.25" style="3" customWidth="1"/>
    <col min="8450" max="8450" width="9.75" style="3" customWidth="1"/>
    <col min="8451" max="8451" width="9.25" style="3" customWidth="1"/>
    <col min="8452" max="8683" width="9" style="3"/>
    <col min="8684" max="8684" width="6.25" style="3" customWidth="1"/>
    <col min="8685" max="8685" width="10.125" style="3" customWidth="1"/>
    <col min="8686" max="8686" width="29.375" style="3" customWidth="1"/>
    <col min="8687" max="8695" width="0" style="3" hidden="1" customWidth="1"/>
    <col min="8696" max="8696" width="14.75" style="3" customWidth="1"/>
    <col min="8697" max="8697" width="11" style="3" customWidth="1"/>
    <col min="8698" max="8698" width="11.125" style="3" customWidth="1"/>
    <col min="8699" max="8699" width="9.75" style="3" customWidth="1"/>
    <col min="8700" max="8700" width="10.375" style="3" customWidth="1"/>
    <col min="8701" max="8702" width="9.625" style="3" customWidth="1"/>
    <col min="8703" max="8703" width="10.875" style="3" customWidth="1"/>
    <col min="8704" max="8704" width="9.375" style="3" customWidth="1"/>
    <col min="8705" max="8705" width="10.25" style="3" customWidth="1"/>
    <col min="8706" max="8706" width="9.75" style="3" customWidth="1"/>
    <col min="8707" max="8707" width="9.25" style="3" customWidth="1"/>
    <col min="8708" max="8939" width="9" style="3"/>
    <col min="8940" max="8940" width="6.25" style="3" customWidth="1"/>
    <col min="8941" max="8941" width="10.125" style="3" customWidth="1"/>
    <col min="8942" max="8942" width="29.375" style="3" customWidth="1"/>
    <col min="8943" max="8951" width="0" style="3" hidden="1" customWidth="1"/>
    <col min="8952" max="8952" width="14.75" style="3" customWidth="1"/>
    <col min="8953" max="8953" width="11" style="3" customWidth="1"/>
    <col min="8954" max="8954" width="11.125" style="3" customWidth="1"/>
    <col min="8955" max="8955" width="9.75" style="3" customWidth="1"/>
    <col min="8956" max="8956" width="10.375" style="3" customWidth="1"/>
    <col min="8957" max="8958" width="9.625" style="3" customWidth="1"/>
    <col min="8959" max="8959" width="10.875" style="3" customWidth="1"/>
    <col min="8960" max="8960" width="9.375" style="3" customWidth="1"/>
    <col min="8961" max="8961" width="10.25" style="3" customWidth="1"/>
    <col min="8962" max="8962" width="9.75" style="3" customWidth="1"/>
    <col min="8963" max="8963" width="9.25" style="3" customWidth="1"/>
    <col min="8964" max="9195" width="9" style="3"/>
    <col min="9196" max="9196" width="6.25" style="3" customWidth="1"/>
    <col min="9197" max="9197" width="10.125" style="3" customWidth="1"/>
    <col min="9198" max="9198" width="29.375" style="3" customWidth="1"/>
    <col min="9199" max="9207" width="0" style="3" hidden="1" customWidth="1"/>
    <col min="9208" max="9208" width="14.75" style="3" customWidth="1"/>
    <col min="9209" max="9209" width="11" style="3" customWidth="1"/>
    <col min="9210" max="9210" width="11.125" style="3" customWidth="1"/>
    <col min="9211" max="9211" width="9.75" style="3" customWidth="1"/>
    <col min="9212" max="9212" width="10.375" style="3" customWidth="1"/>
    <col min="9213" max="9214" width="9.625" style="3" customWidth="1"/>
    <col min="9215" max="9215" width="10.875" style="3" customWidth="1"/>
    <col min="9216" max="9216" width="9.375" style="3" customWidth="1"/>
    <col min="9217" max="9217" width="10.25" style="3" customWidth="1"/>
    <col min="9218" max="9218" width="9.75" style="3" customWidth="1"/>
    <col min="9219" max="9219" width="9.25" style="3" customWidth="1"/>
    <col min="9220" max="9451" width="9" style="3"/>
    <col min="9452" max="9452" width="6.25" style="3" customWidth="1"/>
    <col min="9453" max="9453" width="10.125" style="3" customWidth="1"/>
    <col min="9454" max="9454" width="29.375" style="3" customWidth="1"/>
    <col min="9455" max="9463" width="0" style="3" hidden="1" customWidth="1"/>
    <col min="9464" max="9464" width="14.75" style="3" customWidth="1"/>
    <col min="9465" max="9465" width="11" style="3" customWidth="1"/>
    <col min="9466" max="9466" width="11.125" style="3" customWidth="1"/>
    <col min="9467" max="9467" width="9.75" style="3" customWidth="1"/>
    <col min="9468" max="9468" width="10.375" style="3" customWidth="1"/>
    <col min="9469" max="9470" width="9.625" style="3" customWidth="1"/>
    <col min="9471" max="9471" width="10.875" style="3" customWidth="1"/>
    <col min="9472" max="9472" width="9.375" style="3" customWidth="1"/>
    <col min="9473" max="9473" width="10.25" style="3" customWidth="1"/>
    <col min="9474" max="9474" width="9.75" style="3" customWidth="1"/>
    <col min="9475" max="9475" width="9.25" style="3" customWidth="1"/>
    <col min="9476" max="9707" width="9" style="3"/>
    <col min="9708" max="9708" width="6.25" style="3" customWidth="1"/>
    <col min="9709" max="9709" width="10.125" style="3" customWidth="1"/>
    <col min="9710" max="9710" width="29.375" style="3" customWidth="1"/>
    <col min="9711" max="9719" width="0" style="3" hidden="1" customWidth="1"/>
    <col min="9720" max="9720" width="14.75" style="3" customWidth="1"/>
    <col min="9721" max="9721" width="11" style="3" customWidth="1"/>
    <col min="9722" max="9722" width="11.125" style="3" customWidth="1"/>
    <col min="9723" max="9723" width="9.75" style="3" customWidth="1"/>
    <col min="9724" max="9724" width="10.375" style="3" customWidth="1"/>
    <col min="9725" max="9726" width="9.625" style="3" customWidth="1"/>
    <col min="9727" max="9727" width="10.875" style="3" customWidth="1"/>
    <col min="9728" max="9728" width="9.375" style="3" customWidth="1"/>
    <col min="9729" max="9729" width="10.25" style="3" customWidth="1"/>
    <col min="9730" max="9730" width="9.75" style="3" customWidth="1"/>
    <col min="9731" max="9731" width="9.25" style="3" customWidth="1"/>
    <col min="9732" max="9963" width="9" style="3"/>
    <col min="9964" max="9964" width="6.25" style="3" customWidth="1"/>
    <col min="9965" max="9965" width="10.125" style="3" customWidth="1"/>
    <col min="9966" max="9966" width="29.375" style="3" customWidth="1"/>
    <col min="9967" max="9975" width="0" style="3" hidden="1" customWidth="1"/>
    <col min="9976" max="9976" width="14.75" style="3" customWidth="1"/>
    <col min="9977" max="9977" width="11" style="3" customWidth="1"/>
    <col min="9978" max="9978" width="11.125" style="3" customWidth="1"/>
    <col min="9979" max="9979" width="9.75" style="3" customWidth="1"/>
    <col min="9980" max="9980" width="10.375" style="3" customWidth="1"/>
    <col min="9981" max="9982" width="9.625" style="3" customWidth="1"/>
    <col min="9983" max="9983" width="10.875" style="3" customWidth="1"/>
    <col min="9984" max="9984" width="9.375" style="3" customWidth="1"/>
    <col min="9985" max="9985" width="10.25" style="3" customWidth="1"/>
    <col min="9986" max="9986" width="9.75" style="3" customWidth="1"/>
    <col min="9987" max="9987" width="9.25" style="3" customWidth="1"/>
    <col min="9988" max="10219" width="9" style="3"/>
    <col min="10220" max="10220" width="6.25" style="3" customWidth="1"/>
    <col min="10221" max="10221" width="10.125" style="3" customWidth="1"/>
    <col min="10222" max="10222" width="29.375" style="3" customWidth="1"/>
    <col min="10223" max="10231" width="0" style="3" hidden="1" customWidth="1"/>
    <col min="10232" max="10232" width="14.75" style="3" customWidth="1"/>
    <col min="10233" max="10233" width="11" style="3" customWidth="1"/>
    <col min="10234" max="10234" width="11.125" style="3" customWidth="1"/>
    <col min="10235" max="10235" width="9.75" style="3" customWidth="1"/>
    <col min="10236" max="10236" width="10.375" style="3" customWidth="1"/>
    <col min="10237" max="10238" width="9.625" style="3" customWidth="1"/>
    <col min="10239" max="10239" width="10.875" style="3" customWidth="1"/>
    <col min="10240" max="10240" width="9.375" style="3" customWidth="1"/>
    <col min="10241" max="10241" width="10.25" style="3" customWidth="1"/>
    <col min="10242" max="10242" width="9.75" style="3" customWidth="1"/>
    <col min="10243" max="10243" width="9.25" style="3" customWidth="1"/>
    <col min="10244" max="10475" width="9" style="3"/>
    <col min="10476" max="10476" width="6.25" style="3" customWidth="1"/>
    <col min="10477" max="10477" width="10.125" style="3" customWidth="1"/>
    <col min="10478" max="10478" width="29.375" style="3" customWidth="1"/>
    <col min="10479" max="10487" width="0" style="3" hidden="1" customWidth="1"/>
    <col min="10488" max="10488" width="14.75" style="3" customWidth="1"/>
    <col min="10489" max="10489" width="11" style="3" customWidth="1"/>
    <col min="10490" max="10490" width="11.125" style="3" customWidth="1"/>
    <col min="10491" max="10491" width="9.75" style="3" customWidth="1"/>
    <col min="10492" max="10492" width="10.375" style="3" customWidth="1"/>
    <col min="10493" max="10494" width="9.625" style="3" customWidth="1"/>
    <col min="10495" max="10495" width="10.875" style="3" customWidth="1"/>
    <col min="10496" max="10496" width="9.375" style="3" customWidth="1"/>
    <col min="10497" max="10497" width="10.25" style="3" customWidth="1"/>
    <col min="10498" max="10498" width="9.75" style="3" customWidth="1"/>
    <col min="10499" max="10499" width="9.25" style="3" customWidth="1"/>
    <col min="10500" max="10731" width="9" style="3"/>
    <col min="10732" max="10732" width="6.25" style="3" customWidth="1"/>
    <col min="10733" max="10733" width="10.125" style="3" customWidth="1"/>
    <col min="10734" max="10734" width="29.375" style="3" customWidth="1"/>
    <col min="10735" max="10743" width="0" style="3" hidden="1" customWidth="1"/>
    <col min="10744" max="10744" width="14.75" style="3" customWidth="1"/>
    <col min="10745" max="10745" width="11" style="3" customWidth="1"/>
    <col min="10746" max="10746" width="11.125" style="3" customWidth="1"/>
    <col min="10747" max="10747" width="9.75" style="3" customWidth="1"/>
    <col min="10748" max="10748" width="10.375" style="3" customWidth="1"/>
    <col min="10749" max="10750" width="9.625" style="3" customWidth="1"/>
    <col min="10751" max="10751" width="10.875" style="3" customWidth="1"/>
    <col min="10752" max="10752" width="9.375" style="3" customWidth="1"/>
    <col min="10753" max="10753" width="10.25" style="3" customWidth="1"/>
    <col min="10754" max="10754" width="9.75" style="3" customWidth="1"/>
    <col min="10755" max="10755" width="9.25" style="3" customWidth="1"/>
    <col min="10756" max="10987" width="9" style="3"/>
    <col min="10988" max="10988" width="6.25" style="3" customWidth="1"/>
    <col min="10989" max="10989" width="10.125" style="3" customWidth="1"/>
    <col min="10990" max="10990" width="29.375" style="3" customWidth="1"/>
    <col min="10991" max="10999" width="0" style="3" hidden="1" customWidth="1"/>
    <col min="11000" max="11000" width="14.75" style="3" customWidth="1"/>
    <col min="11001" max="11001" width="11" style="3" customWidth="1"/>
    <col min="11002" max="11002" width="11.125" style="3" customWidth="1"/>
    <col min="11003" max="11003" width="9.75" style="3" customWidth="1"/>
    <col min="11004" max="11004" width="10.375" style="3" customWidth="1"/>
    <col min="11005" max="11006" width="9.625" style="3" customWidth="1"/>
    <col min="11007" max="11007" width="10.875" style="3" customWidth="1"/>
    <col min="11008" max="11008" width="9.375" style="3" customWidth="1"/>
    <col min="11009" max="11009" width="10.25" style="3" customWidth="1"/>
    <col min="11010" max="11010" width="9.75" style="3" customWidth="1"/>
    <col min="11011" max="11011" width="9.25" style="3" customWidth="1"/>
    <col min="11012" max="11243" width="9" style="3"/>
    <col min="11244" max="11244" width="6.25" style="3" customWidth="1"/>
    <col min="11245" max="11245" width="10.125" style="3" customWidth="1"/>
    <col min="11246" max="11246" width="29.375" style="3" customWidth="1"/>
    <col min="11247" max="11255" width="0" style="3" hidden="1" customWidth="1"/>
    <col min="11256" max="11256" width="14.75" style="3" customWidth="1"/>
    <col min="11257" max="11257" width="11" style="3" customWidth="1"/>
    <col min="11258" max="11258" width="11.125" style="3" customWidth="1"/>
    <col min="11259" max="11259" width="9.75" style="3" customWidth="1"/>
    <col min="11260" max="11260" width="10.375" style="3" customWidth="1"/>
    <col min="11261" max="11262" width="9.625" style="3" customWidth="1"/>
    <col min="11263" max="11263" width="10.875" style="3" customWidth="1"/>
    <col min="11264" max="11264" width="9.375" style="3" customWidth="1"/>
    <col min="11265" max="11265" width="10.25" style="3" customWidth="1"/>
    <col min="11266" max="11266" width="9.75" style="3" customWidth="1"/>
    <col min="11267" max="11267" width="9.25" style="3" customWidth="1"/>
    <col min="11268" max="11499" width="9" style="3"/>
    <col min="11500" max="11500" width="6.25" style="3" customWidth="1"/>
    <col min="11501" max="11501" width="10.125" style="3" customWidth="1"/>
    <col min="11502" max="11502" width="29.375" style="3" customWidth="1"/>
    <col min="11503" max="11511" width="0" style="3" hidden="1" customWidth="1"/>
    <col min="11512" max="11512" width="14.75" style="3" customWidth="1"/>
    <col min="11513" max="11513" width="11" style="3" customWidth="1"/>
    <col min="11514" max="11514" width="11.125" style="3" customWidth="1"/>
    <col min="11515" max="11515" width="9.75" style="3" customWidth="1"/>
    <col min="11516" max="11516" width="10.375" style="3" customWidth="1"/>
    <col min="11517" max="11518" width="9.625" style="3" customWidth="1"/>
    <col min="11519" max="11519" width="10.875" style="3" customWidth="1"/>
    <col min="11520" max="11520" width="9.375" style="3" customWidth="1"/>
    <col min="11521" max="11521" width="10.25" style="3" customWidth="1"/>
    <col min="11522" max="11522" width="9.75" style="3" customWidth="1"/>
    <col min="11523" max="11523" width="9.25" style="3" customWidth="1"/>
    <col min="11524" max="11755" width="9" style="3"/>
    <col min="11756" max="11756" width="6.25" style="3" customWidth="1"/>
    <col min="11757" max="11757" width="10.125" style="3" customWidth="1"/>
    <col min="11758" max="11758" width="29.375" style="3" customWidth="1"/>
    <col min="11759" max="11767" width="0" style="3" hidden="1" customWidth="1"/>
    <col min="11768" max="11768" width="14.75" style="3" customWidth="1"/>
    <col min="11769" max="11769" width="11" style="3" customWidth="1"/>
    <col min="11770" max="11770" width="11.125" style="3" customWidth="1"/>
    <col min="11771" max="11771" width="9.75" style="3" customWidth="1"/>
    <col min="11772" max="11772" width="10.375" style="3" customWidth="1"/>
    <col min="11773" max="11774" width="9.625" style="3" customWidth="1"/>
    <col min="11775" max="11775" width="10.875" style="3" customWidth="1"/>
    <col min="11776" max="11776" width="9.375" style="3" customWidth="1"/>
    <col min="11777" max="11777" width="10.25" style="3" customWidth="1"/>
    <col min="11778" max="11778" width="9.75" style="3" customWidth="1"/>
    <col min="11779" max="11779" width="9.25" style="3" customWidth="1"/>
    <col min="11780" max="12011" width="9" style="3"/>
    <col min="12012" max="12012" width="6.25" style="3" customWidth="1"/>
    <col min="12013" max="12013" width="10.125" style="3" customWidth="1"/>
    <col min="12014" max="12014" width="29.375" style="3" customWidth="1"/>
    <col min="12015" max="12023" width="0" style="3" hidden="1" customWidth="1"/>
    <col min="12024" max="12024" width="14.75" style="3" customWidth="1"/>
    <col min="12025" max="12025" width="11" style="3" customWidth="1"/>
    <col min="12026" max="12026" width="11.125" style="3" customWidth="1"/>
    <col min="12027" max="12027" width="9.75" style="3" customWidth="1"/>
    <col min="12028" max="12028" width="10.375" style="3" customWidth="1"/>
    <col min="12029" max="12030" width="9.625" style="3" customWidth="1"/>
    <col min="12031" max="12031" width="10.875" style="3" customWidth="1"/>
    <col min="12032" max="12032" width="9.375" style="3" customWidth="1"/>
    <col min="12033" max="12033" width="10.25" style="3" customWidth="1"/>
    <col min="12034" max="12034" width="9.75" style="3" customWidth="1"/>
    <col min="12035" max="12035" width="9.25" style="3" customWidth="1"/>
    <col min="12036" max="12267" width="9" style="3"/>
    <col min="12268" max="12268" width="6.25" style="3" customWidth="1"/>
    <col min="12269" max="12269" width="10.125" style="3" customWidth="1"/>
    <col min="12270" max="12270" width="29.375" style="3" customWidth="1"/>
    <col min="12271" max="12279" width="0" style="3" hidden="1" customWidth="1"/>
    <col min="12280" max="12280" width="14.75" style="3" customWidth="1"/>
    <col min="12281" max="12281" width="11" style="3" customWidth="1"/>
    <col min="12282" max="12282" width="11.125" style="3" customWidth="1"/>
    <col min="12283" max="12283" width="9.75" style="3" customWidth="1"/>
    <col min="12284" max="12284" width="10.375" style="3" customWidth="1"/>
    <col min="12285" max="12286" width="9.625" style="3" customWidth="1"/>
    <col min="12287" max="12287" width="10.875" style="3" customWidth="1"/>
    <col min="12288" max="12288" width="9.375" style="3" customWidth="1"/>
    <col min="12289" max="12289" width="10.25" style="3" customWidth="1"/>
    <col min="12290" max="12290" width="9.75" style="3" customWidth="1"/>
    <col min="12291" max="12291" width="9.25" style="3" customWidth="1"/>
    <col min="12292" max="12523" width="9" style="3"/>
    <col min="12524" max="12524" width="6.25" style="3" customWidth="1"/>
    <col min="12525" max="12525" width="10.125" style="3" customWidth="1"/>
    <col min="12526" max="12526" width="29.375" style="3" customWidth="1"/>
    <col min="12527" max="12535" width="0" style="3" hidden="1" customWidth="1"/>
    <col min="12536" max="12536" width="14.75" style="3" customWidth="1"/>
    <col min="12537" max="12537" width="11" style="3" customWidth="1"/>
    <col min="12538" max="12538" width="11.125" style="3" customWidth="1"/>
    <col min="12539" max="12539" width="9.75" style="3" customWidth="1"/>
    <col min="12540" max="12540" width="10.375" style="3" customWidth="1"/>
    <col min="12541" max="12542" width="9.625" style="3" customWidth="1"/>
    <col min="12543" max="12543" width="10.875" style="3" customWidth="1"/>
    <col min="12544" max="12544" width="9.375" style="3" customWidth="1"/>
    <col min="12545" max="12545" width="10.25" style="3" customWidth="1"/>
    <col min="12546" max="12546" width="9.75" style="3" customWidth="1"/>
    <col min="12547" max="12547" width="9.25" style="3" customWidth="1"/>
    <col min="12548" max="12779" width="9" style="3"/>
    <col min="12780" max="12780" width="6.25" style="3" customWidth="1"/>
    <col min="12781" max="12781" width="10.125" style="3" customWidth="1"/>
    <col min="12782" max="12782" width="29.375" style="3" customWidth="1"/>
    <col min="12783" max="12791" width="0" style="3" hidden="1" customWidth="1"/>
    <col min="12792" max="12792" width="14.75" style="3" customWidth="1"/>
    <col min="12793" max="12793" width="11" style="3" customWidth="1"/>
    <col min="12794" max="12794" width="11.125" style="3" customWidth="1"/>
    <col min="12795" max="12795" width="9.75" style="3" customWidth="1"/>
    <col min="12796" max="12796" width="10.375" style="3" customWidth="1"/>
    <col min="12797" max="12798" width="9.625" style="3" customWidth="1"/>
    <col min="12799" max="12799" width="10.875" style="3" customWidth="1"/>
    <col min="12800" max="12800" width="9.375" style="3" customWidth="1"/>
    <col min="12801" max="12801" width="10.25" style="3" customWidth="1"/>
    <col min="12802" max="12802" width="9.75" style="3" customWidth="1"/>
    <col min="12803" max="12803" width="9.25" style="3" customWidth="1"/>
    <col min="12804" max="13035" width="9" style="3"/>
    <col min="13036" max="13036" width="6.25" style="3" customWidth="1"/>
    <col min="13037" max="13037" width="10.125" style="3" customWidth="1"/>
    <col min="13038" max="13038" width="29.375" style="3" customWidth="1"/>
    <col min="13039" max="13047" width="0" style="3" hidden="1" customWidth="1"/>
    <col min="13048" max="13048" width="14.75" style="3" customWidth="1"/>
    <col min="13049" max="13049" width="11" style="3" customWidth="1"/>
    <col min="13050" max="13050" width="11.125" style="3" customWidth="1"/>
    <col min="13051" max="13051" width="9.75" style="3" customWidth="1"/>
    <col min="13052" max="13052" width="10.375" style="3" customWidth="1"/>
    <col min="13053" max="13054" width="9.625" style="3" customWidth="1"/>
    <col min="13055" max="13055" width="10.875" style="3" customWidth="1"/>
    <col min="13056" max="13056" width="9.375" style="3" customWidth="1"/>
    <col min="13057" max="13057" width="10.25" style="3" customWidth="1"/>
    <col min="13058" max="13058" width="9.75" style="3" customWidth="1"/>
    <col min="13059" max="13059" width="9.25" style="3" customWidth="1"/>
    <col min="13060" max="13291" width="9" style="3"/>
    <col min="13292" max="13292" width="6.25" style="3" customWidth="1"/>
    <col min="13293" max="13293" width="10.125" style="3" customWidth="1"/>
    <col min="13294" max="13294" width="29.375" style="3" customWidth="1"/>
    <col min="13295" max="13303" width="0" style="3" hidden="1" customWidth="1"/>
    <col min="13304" max="13304" width="14.75" style="3" customWidth="1"/>
    <col min="13305" max="13305" width="11" style="3" customWidth="1"/>
    <col min="13306" max="13306" width="11.125" style="3" customWidth="1"/>
    <col min="13307" max="13307" width="9.75" style="3" customWidth="1"/>
    <col min="13308" max="13308" width="10.375" style="3" customWidth="1"/>
    <col min="13309" max="13310" width="9.625" style="3" customWidth="1"/>
    <col min="13311" max="13311" width="10.875" style="3" customWidth="1"/>
    <col min="13312" max="13312" width="9.375" style="3" customWidth="1"/>
    <col min="13313" max="13313" width="10.25" style="3" customWidth="1"/>
    <col min="13314" max="13314" width="9.75" style="3" customWidth="1"/>
    <col min="13315" max="13315" width="9.25" style="3" customWidth="1"/>
    <col min="13316" max="13547" width="9" style="3"/>
    <col min="13548" max="13548" width="6.25" style="3" customWidth="1"/>
    <col min="13549" max="13549" width="10.125" style="3" customWidth="1"/>
    <col min="13550" max="13550" width="29.375" style="3" customWidth="1"/>
    <col min="13551" max="13559" width="0" style="3" hidden="1" customWidth="1"/>
    <col min="13560" max="13560" width="14.75" style="3" customWidth="1"/>
    <col min="13561" max="13561" width="11" style="3" customWidth="1"/>
    <col min="13562" max="13562" width="11.125" style="3" customWidth="1"/>
    <col min="13563" max="13563" width="9.75" style="3" customWidth="1"/>
    <col min="13564" max="13564" width="10.375" style="3" customWidth="1"/>
    <col min="13565" max="13566" width="9.625" style="3" customWidth="1"/>
    <col min="13567" max="13567" width="10.875" style="3" customWidth="1"/>
    <col min="13568" max="13568" width="9.375" style="3" customWidth="1"/>
    <col min="13569" max="13569" width="10.25" style="3" customWidth="1"/>
    <col min="13570" max="13570" width="9.75" style="3" customWidth="1"/>
    <col min="13571" max="13571" width="9.25" style="3" customWidth="1"/>
    <col min="13572" max="13803" width="9" style="3"/>
    <col min="13804" max="13804" width="6.25" style="3" customWidth="1"/>
    <col min="13805" max="13805" width="10.125" style="3" customWidth="1"/>
    <col min="13806" max="13806" width="29.375" style="3" customWidth="1"/>
    <col min="13807" max="13815" width="0" style="3" hidden="1" customWidth="1"/>
    <col min="13816" max="13816" width="14.75" style="3" customWidth="1"/>
    <col min="13817" max="13817" width="11" style="3" customWidth="1"/>
    <col min="13818" max="13818" width="11.125" style="3" customWidth="1"/>
    <col min="13819" max="13819" width="9.75" style="3" customWidth="1"/>
    <col min="13820" max="13820" width="10.375" style="3" customWidth="1"/>
    <col min="13821" max="13822" width="9.625" style="3" customWidth="1"/>
    <col min="13823" max="13823" width="10.875" style="3" customWidth="1"/>
    <col min="13824" max="13824" width="9.375" style="3" customWidth="1"/>
    <col min="13825" max="13825" width="10.25" style="3" customWidth="1"/>
    <col min="13826" max="13826" width="9.75" style="3" customWidth="1"/>
    <col min="13827" max="13827" width="9.25" style="3" customWidth="1"/>
    <col min="13828" max="14059" width="9" style="3"/>
    <col min="14060" max="14060" width="6.25" style="3" customWidth="1"/>
    <col min="14061" max="14061" width="10.125" style="3" customWidth="1"/>
    <col min="14062" max="14062" width="29.375" style="3" customWidth="1"/>
    <col min="14063" max="14071" width="0" style="3" hidden="1" customWidth="1"/>
    <col min="14072" max="14072" width="14.75" style="3" customWidth="1"/>
    <col min="14073" max="14073" width="11" style="3" customWidth="1"/>
    <col min="14074" max="14074" width="11.125" style="3" customWidth="1"/>
    <col min="14075" max="14075" width="9.75" style="3" customWidth="1"/>
    <col min="14076" max="14076" width="10.375" style="3" customWidth="1"/>
    <col min="14077" max="14078" width="9.625" style="3" customWidth="1"/>
    <col min="14079" max="14079" width="10.875" style="3" customWidth="1"/>
    <col min="14080" max="14080" width="9.375" style="3" customWidth="1"/>
    <col min="14081" max="14081" width="10.25" style="3" customWidth="1"/>
    <col min="14082" max="14082" width="9.75" style="3" customWidth="1"/>
    <col min="14083" max="14083" width="9.25" style="3" customWidth="1"/>
    <col min="14084" max="14315" width="9" style="3"/>
    <col min="14316" max="14316" width="6.25" style="3" customWidth="1"/>
    <col min="14317" max="14317" width="10.125" style="3" customWidth="1"/>
    <col min="14318" max="14318" width="29.375" style="3" customWidth="1"/>
    <col min="14319" max="14327" width="0" style="3" hidden="1" customWidth="1"/>
    <col min="14328" max="14328" width="14.75" style="3" customWidth="1"/>
    <col min="14329" max="14329" width="11" style="3" customWidth="1"/>
    <col min="14330" max="14330" width="11.125" style="3" customWidth="1"/>
    <col min="14331" max="14331" width="9.75" style="3" customWidth="1"/>
    <col min="14332" max="14332" width="10.375" style="3" customWidth="1"/>
    <col min="14333" max="14334" width="9.625" style="3" customWidth="1"/>
    <col min="14335" max="14335" width="10.875" style="3" customWidth="1"/>
    <col min="14336" max="14336" width="9.375" style="3" customWidth="1"/>
    <col min="14337" max="14337" width="10.25" style="3" customWidth="1"/>
    <col min="14338" max="14338" width="9.75" style="3" customWidth="1"/>
    <col min="14339" max="14339" width="9.25" style="3" customWidth="1"/>
    <col min="14340" max="14571" width="9" style="3"/>
    <col min="14572" max="14572" width="6.25" style="3" customWidth="1"/>
    <col min="14573" max="14573" width="10.125" style="3" customWidth="1"/>
    <col min="14574" max="14574" width="29.375" style="3" customWidth="1"/>
    <col min="14575" max="14583" width="0" style="3" hidden="1" customWidth="1"/>
    <col min="14584" max="14584" width="14.75" style="3" customWidth="1"/>
    <col min="14585" max="14585" width="11" style="3" customWidth="1"/>
    <col min="14586" max="14586" width="11.125" style="3" customWidth="1"/>
    <col min="14587" max="14587" width="9.75" style="3" customWidth="1"/>
    <col min="14588" max="14588" width="10.375" style="3" customWidth="1"/>
    <col min="14589" max="14590" width="9.625" style="3" customWidth="1"/>
    <col min="14591" max="14591" width="10.875" style="3" customWidth="1"/>
    <col min="14592" max="14592" width="9.375" style="3" customWidth="1"/>
    <col min="14593" max="14593" width="10.25" style="3" customWidth="1"/>
    <col min="14594" max="14594" width="9.75" style="3" customWidth="1"/>
    <col min="14595" max="14595" width="9.25" style="3" customWidth="1"/>
    <col min="14596" max="14827" width="9" style="3"/>
    <col min="14828" max="14828" width="6.25" style="3" customWidth="1"/>
    <col min="14829" max="14829" width="10.125" style="3" customWidth="1"/>
    <col min="14830" max="14830" width="29.375" style="3" customWidth="1"/>
    <col min="14831" max="14839" width="0" style="3" hidden="1" customWidth="1"/>
    <col min="14840" max="14840" width="14.75" style="3" customWidth="1"/>
    <col min="14841" max="14841" width="11" style="3" customWidth="1"/>
    <col min="14842" max="14842" width="11.125" style="3" customWidth="1"/>
    <col min="14843" max="14843" width="9.75" style="3" customWidth="1"/>
    <col min="14844" max="14844" width="10.375" style="3" customWidth="1"/>
    <col min="14845" max="14846" width="9.625" style="3" customWidth="1"/>
    <col min="14847" max="14847" width="10.875" style="3" customWidth="1"/>
    <col min="14848" max="14848" width="9.375" style="3" customWidth="1"/>
    <col min="14849" max="14849" width="10.25" style="3" customWidth="1"/>
    <col min="14850" max="14850" width="9.75" style="3" customWidth="1"/>
    <col min="14851" max="14851" width="9.25" style="3" customWidth="1"/>
    <col min="14852" max="15083" width="9" style="3"/>
    <col min="15084" max="15084" width="6.25" style="3" customWidth="1"/>
    <col min="15085" max="15085" width="10.125" style="3" customWidth="1"/>
    <col min="15086" max="15086" width="29.375" style="3" customWidth="1"/>
    <col min="15087" max="15095" width="0" style="3" hidden="1" customWidth="1"/>
    <col min="15096" max="15096" width="14.75" style="3" customWidth="1"/>
    <col min="15097" max="15097" width="11" style="3" customWidth="1"/>
    <col min="15098" max="15098" width="11.125" style="3" customWidth="1"/>
    <col min="15099" max="15099" width="9.75" style="3" customWidth="1"/>
    <col min="15100" max="15100" width="10.375" style="3" customWidth="1"/>
    <col min="15101" max="15102" width="9.625" style="3" customWidth="1"/>
    <col min="15103" max="15103" width="10.875" style="3" customWidth="1"/>
    <col min="15104" max="15104" width="9.375" style="3" customWidth="1"/>
    <col min="15105" max="15105" width="10.25" style="3" customWidth="1"/>
    <col min="15106" max="15106" width="9.75" style="3" customWidth="1"/>
    <col min="15107" max="15107" width="9.25" style="3" customWidth="1"/>
    <col min="15108" max="15339" width="9" style="3"/>
    <col min="15340" max="15340" width="6.25" style="3" customWidth="1"/>
    <col min="15341" max="15341" width="10.125" style="3" customWidth="1"/>
    <col min="15342" max="15342" width="29.375" style="3" customWidth="1"/>
    <col min="15343" max="15351" width="0" style="3" hidden="1" customWidth="1"/>
    <col min="15352" max="15352" width="14.75" style="3" customWidth="1"/>
    <col min="15353" max="15353" width="11" style="3" customWidth="1"/>
    <col min="15354" max="15354" width="11.125" style="3" customWidth="1"/>
    <col min="15355" max="15355" width="9.75" style="3" customWidth="1"/>
    <col min="15356" max="15356" width="10.375" style="3" customWidth="1"/>
    <col min="15357" max="15358" width="9.625" style="3" customWidth="1"/>
    <col min="15359" max="15359" width="10.875" style="3" customWidth="1"/>
    <col min="15360" max="15360" width="9.375" style="3" customWidth="1"/>
    <col min="15361" max="15361" width="10.25" style="3" customWidth="1"/>
    <col min="15362" max="15362" width="9.75" style="3" customWidth="1"/>
    <col min="15363" max="15363" width="9.25" style="3" customWidth="1"/>
    <col min="15364" max="15595" width="9" style="3"/>
    <col min="15596" max="15596" width="6.25" style="3" customWidth="1"/>
    <col min="15597" max="15597" width="10.125" style="3" customWidth="1"/>
    <col min="15598" max="15598" width="29.375" style="3" customWidth="1"/>
    <col min="15599" max="15607" width="0" style="3" hidden="1" customWidth="1"/>
    <col min="15608" max="15608" width="14.75" style="3" customWidth="1"/>
    <col min="15609" max="15609" width="11" style="3" customWidth="1"/>
    <col min="15610" max="15610" width="11.125" style="3" customWidth="1"/>
    <col min="15611" max="15611" width="9.75" style="3" customWidth="1"/>
    <col min="15612" max="15612" width="10.375" style="3" customWidth="1"/>
    <col min="15613" max="15614" width="9.625" style="3" customWidth="1"/>
    <col min="15615" max="15615" width="10.875" style="3" customWidth="1"/>
    <col min="15616" max="15616" width="9.375" style="3" customWidth="1"/>
    <col min="15617" max="15617" width="10.25" style="3" customWidth="1"/>
    <col min="15618" max="15618" width="9.75" style="3" customWidth="1"/>
    <col min="15619" max="15619" width="9.25" style="3" customWidth="1"/>
    <col min="15620" max="15851" width="9" style="3"/>
    <col min="15852" max="15852" width="6.25" style="3" customWidth="1"/>
    <col min="15853" max="15853" width="10.125" style="3" customWidth="1"/>
    <col min="15854" max="15854" width="29.375" style="3" customWidth="1"/>
    <col min="15855" max="15863" width="0" style="3" hidden="1" customWidth="1"/>
    <col min="15864" max="15864" width="14.75" style="3" customWidth="1"/>
    <col min="15865" max="15865" width="11" style="3" customWidth="1"/>
    <col min="15866" max="15866" width="11.125" style="3" customWidth="1"/>
    <col min="15867" max="15867" width="9.75" style="3" customWidth="1"/>
    <col min="15868" max="15868" width="10.375" style="3" customWidth="1"/>
    <col min="15869" max="15870" width="9.625" style="3" customWidth="1"/>
    <col min="15871" max="15871" width="10.875" style="3" customWidth="1"/>
    <col min="15872" max="15872" width="9.375" style="3" customWidth="1"/>
    <col min="15873" max="15873" width="10.25" style="3" customWidth="1"/>
    <col min="15874" max="15874" width="9.75" style="3" customWidth="1"/>
    <col min="15875" max="15875" width="9.25" style="3" customWidth="1"/>
    <col min="15876" max="16107" width="9" style="3"/>
    <col min="16108" max="16108" width="6.25" style="3" customWidth="1"/>
    <col min="16109" max="16109" width="10.125" style="3" customWidth="1"/>
    <col min="16110" max="16110" width="29.375" style="3" customWidth="1"/>
    <col min="16111" max="16119" width="0" style="3" hidden="1" customWidth="1"/>
    <col min="16120" max="16120" width="14.75" style="3" customWidth="1"/>
    <col min="16121" max="16121" width="11" style="3" customWidth="1"/>
    <col min="16122" max="16122" width="11.125" style="3" customWidth="1"/>
    <col min="16123" max="16123" width="9.75" style="3" customWidth="1"/>
    <col min="16124" max="16124" width="10.375" style="3" customWidth="1"/>
    <col min="16125" max="16126" width="9.625" style="3" customWidth="1"/>
    <col min="16127" max="16127" width="10.875" style="3" customWidth="1"/>
    <col min="16128" max="16128" width="9.375" style="3" customWidth="1"/>
    <col min="16129" max="16129" width="10.25" style="3" customWidth="1"/>
    <col min="16130" max="16130" width="9.75" style="3" customWidth="1"/>
    <col min="16131" max="16131" width="9.25" style="3" customWidth="1"/>
    <col min="16132" max="16384" width="9" style="3"/>
  </cols>
  <sheetData>
    <row r="1" spans="1:4" ht="26.25" customHeight="1">
      <c r="A1" s="1" t="s">
        <v>0</v>
      </c>
      <c r="B1" s="2"/>
    </row>
    <row r="2" spans="1:4" ht="26.25">
      <c r="A2" s="7" t="s">
        <v>2</v>
      </c>
      <c r="B2" s="8"/>
    </row>
    <row r="3" spans="1:4" ht="21" customHeight="1">
      <c r="A3" s="1370" t="s">
        <v>3</v>
      </c>
      <c r="B3" s="13"/>
      <c r="C3" s="1353" t="s">
        <v>4</v>
      </c>
      <c r="D3" s="1353" t="s">
        <v>14</v>
      </c>
    </row>
    <row r="4" spans="1:4" ht="21" customHeight="1">
      <c r="A4" s="1371"/>
      <c r="B4" s="16"/>
      <c r="C4" s="1356"/>
      <c r="D4" s="1389"/>
    </row>
    <row r="5" spans="1:4">
      <c r="A5" s="1372"/>
      <c r="B5" s="18" t="s">
        <v>21</v>
      </c>
      <c r="C5" s="1354"/>
      <c r="D5" s="1390"/>
    </row>
    <row r="6" spans="1:4" s="22" customFormat="1">
      <c r="A6" s="20">
        <v>1</v>
      </c>
      <c r="B6" s="20" t="s">
        <v>31</v>
      </c>
      <c r="C6" s="20">
        <v>2</v>
      </c>
      <c r="D6" s="20">
        <v>12</v>
      </c>
    </row>
    <row r="7" spans="1:4" s="28" customFormat="1" ht="31.5">
      <c r="A7" s="335" t="s">
        <v>32</v>
      </c>
      <c r="B7" s="24"/>
      <c r="C7" s="25"/>
      <c r="D7" s="457"/>
    </row>
    <row r="8" spans="1:4" s="35" customFormat="1" ht="26.25">
      <c r="A8" s="29" t="s">
        <v>33</v>
      </c>
      <c r="B8" s="30"/>
      <c r="C8" s="31"/>
      <c r="D8" s="461">
        <v>22812100</v>
      </c>
    </row>
    <row r="9" spans="1:4" s="58" customFormat="1">
      <c r="A9" s="51" t="s">
        <v>40</v>
      </c>
      <c r="B9" s="137" t="s">
        <v>41</v>
      </c>
      <c r="C9" s="137" t="s">
        <v>42</v>
      </c>
      <c r="D9" s="462">
        <v>19475340</v>
      </c>
    </row>
    <row r="10" spans="1:4" s="110" customFormat="1">
      <c r="A10" s="96"/>
      <c r="B10" s="96"/>
      <c r="C10" s="96" t="s">
        <v>559</v>
      </c>
      <c r="D10" s="99">
        <v>776760</v>
      </c>
    </row>
    <row r="11" spans="1:4" s="76" customFormat="1">
      <c r="A11" s="93" t="s">
        <v>44</v>
      </c>
      <c r="B11" s="78" t="s">
        <v>45</v>
      </c>
      <c r="C11" s="68" t="s">
        <v>46</v>
      </c>
      <c r="D11" s="74">
        <v>7000</v>
      </c>
    </row>
    <row r="12" spans="1:4" s="76" customFormat="1">
      <c r="A12" s="66" t="s">
        <v>54</v>
      </c>
      <c r="B12" s="67" t="s">
        <v>55</v>
      </c>
      <c r="C12" s="68" t="s">
        <v>56</v>
      </c>
      <c r="D12" s="74">
        <v>38000</v>
      </c>
    </row>
    <row r="13" spans="1:4" s="76" customFormat="1">
      <c r="A13" s="66" t="s">
        <v>66</v>
      </c>
      <c r="B13" s="67" t="s">
        <v>55</v>
      </c>
      <c r="C13" s="68" t="s">
        <v>67</v>
      </c>
      <c r="D13" s="74">
        <v>18000</v>
      </c>
    </row>
    <row r="14" spans="1:4" s="76" customFormat="1">
      <c r="A14" s="66" t="s">
        <v>73</v>
      </c>
      <c r="B14" s="67" t="s">
        <v>55</v>
      </c>
      <c r="C14" s="96" t="s">
        <v>74</v>
      </c>
      <c r="D14" s="99">
        <v>80000</v>
      </c>
    </row>
    <row r="15" spans="1:4" s="76" customFormat="1">
      <c r="A15" s="66" t="s">
        <v>80</v>
      </c>
      <c r="B15" s="308" t="s">
        <v>81</v>
      </c>
      <c r="C15" s="68" t="s">
        <v>82</v>
      </c>
      <c r="D15" s="74">
        <v>6000</v>
      </c>
    </row>
    <row r="16" spans="1:4" s="76" customFormat="1">
      <c r="A16" s="66" t="s">
        <v>88</v>
      </c>
      <c r="B16" s="309" t="s">
        <v>89</v>
      </c>
      <c r="C16" s="68" t="s">
        <v>90</v>
      </c>
      <c r="D16" s="74">
        <v>20360</v>
      </c>
    </row>
    <row r="17" spans="1:4" s="76" customFormat="1">
      <c r="A17" s="66" t="s">
        <v>100</v>
      </c>
      <c r="B17" s="309" t="s">
        <v>101</v>
      </c>
      <c r="C17" s="68" t="s">
        <v>568</v>
      </c>
      <c r="D17" s="74">
        <v>80000</v>
      </c>
    </row>
    <row r="18" spans="1:4" s="76" customFormat="1">
      <c r="A18" s="66" t="s">
        <v>105</v>
      </c>
      <c r="B18" s="308" t="s">
        <v>455</v>
      </c>
      <c r="C18" s="68" t="s">
        <v>107</v>
      </c>
      <c r="D18" s="74">
        <v>350000</v>
      </c>
    </row>
    <row r="19" spans="1:4" s="117" customFormat="1">
      <c r="A19" s="114" t="s">
        <v>109</v>
      </c>
      <c r="B19" s="269" t="s">
        <v>41</v>
      </c>
      <c r="C19" s="115" t="s">
        <v>110</v>
      </c>
      <c r="D19" s="124">
        <v>100000</v>
      </c>
    </row>
    <row r="20" spans="1:4" s="76" customFormat="1" ht="42">
      <c r="A20" s="66" t="s">
        <v>111</v>
      </c>
      <c r="B20" s="118" t="s">
        <v>55</v>
      </c>
      <c r="C20" s="119" t="s">
        <v>112</v>
      </c>
      <c r="D20" s="124">
        <v>45600</v>
      </c>
    </row>
    <row r="21" spans="1:4" s="135" customFormat="1">
      <c r="A21" s="128" t="s">
        <v>117</v>
      </c>
      <c r="B21" s="311" t="s">
        <v>89</v>
      </c>
      <c r="C21" s="129" t="s">
        <v>118</v>
      </c>
      <c r="D21" s="458">
        <v>31800</v>
      </c>
    </row>
    <row r="22" spans="1:4" s="141" customFormat="1">
      <c r="A22" s="51" t="s">
        <v>127</v>
      </c>
      <c r="B22" s="137" t="s">
        <v>128</v>
      </c>
      <c r="C22" s="52" t="s">
        <v>129</v>
      </c>
      <c r="D22" s="389">
        <v>200000</v>
      </c>
    </row>
    <row r="23" spans="1:4" s="159" customFormat="1">
      <c r="A23" s="150" t="s">
        <v>131</v>
      </c>
      <c r="B23" s="312" t="s">
        <v>132</v>
      </c>
      <c r="C23" s="151" t="s">
        <v>133</v>
      </c>
      <c r="D23" s="155">
        <v>2360000</v>
      </c>
    </row>
    <row r="24" spans="1:4" s="76" customFormat="1">
      <c r="A24" s="93" t="s">
        <v>34</v>
      </c>
      <c r="B24" s="355" t="s">
        <v>34</v>
      </c>
      <c r="C24" s="268" t="s">
        <v>548</v>
      </c>
      <c r="D24" s="365">
        <v>1760000</v>
      </c>
    </row>
    <row r="25" spans="1:4" s="76" customFormat="1">
      <c r="A25" s="93"/>
      <c r="B25" s="78" t="s">
        <v>34</v>
      </c>
      <c r="C25" s="354" t="s">
        <v>134</v>
      </c>
      <c r="D25" s="459"/>
    </row>
    <row r="26" spans="1:4" s="76" customFormat="1">
      <c r="A26" s="93"/>
      <c r="B26" s="78" t="s">
        <v>34</v>
      </c>
      <c r="C26" s="354" t="s">
        <v>135</v>
      </c>
      <c r="D26" s="459"/>
    </row>
    <row r="27" spans="1:4" s="76" customFormat="1">
      <c r="A27" s="93"/>
      <c r="B27" s="78" t="s">
        <v>34</v>
      </c>
      <c r="C27" s="354" t="s">
        <v>136</v>
      </c>
      <c r="D27" s="459"/>
    </row>
    <row r="28" spans="1:4" s="76" customFormat="1">
      <c r="A28" s="93"/>
      <c r="B28" s="78" t="s">
        <v>34</v>
      </c>
      <c r="C28" s="354" t="s">
        <v>137</v>
      </c>
      <c r="D28" s="459"/>
    </row>
    <row r="29" spans="1:4" s="76" customFormat="1">
      <c r="A29" s="93"/>
      <c r="B29" s="78" t="s">
        <v>34</v>
      </c>
      <c r="C29" s="354" t="s">
        <v>547</v>
      </c>
      <c r="D29" s="459"/>
    </row>
    <row r="30" spans="1:4" s="76" customFormat="1">
      <c r="A30" s="95"/>
      <c r="B30" s="68"/>
      <c r="C30" s="268" t="s">
        <v>549</v>
      </c>
      <c r="D30" s="365"/>
    </row>
    <row r="31" spans="1:4" s="76" customFormat="1">
      <c r="A31" s="114" t="s">
        <v>139</v>
      </c>
      <c r="B31" s="313" t="s">
        <v>140</v>
      </c>
      <c r="C31" s="96" t="s">
        <v>560</v>
      </c>
      <c r="D31" s="99">
        <v>60000</v>
      </c>
    </row>
    <row r="32" spans="1:4" s="76" customFormat="1">
      <c r="A32" s="66" t="s">
        <v>142</v>
      </c>
      <c r="B32" s="314" t="s">
        <v>140</v>
      </c>
      <c r="C32" s="68" t="s">
        <v>561</v>
      </c>
      <c r="D32" s="74">
        <v>90000</v>
      </c>
    </row>
    <row r="33" spans="1:4" s="76" customFormat="1">
      <c r="A33" s="114" t="s">
        <v>144</v>
      </c>
      <c r="B33" s="313" t="s">
        <v>140</v>
      </c>
      <c r="C33" s="96" t="s">
        <v>562</v>
      </c>
      <c r="D33" s="99">
        <v>70000</v>
      </c>
    </row>
    <row r="34" spans="1:4" s="76" customFormat="1" ht="42">
      <c r="A34" s="66" t="s">
        <v>146</v>
      </c>
      <c r="B34" s="310" t="s">
        <v>147</v>
      </c>
      <c r="C34" s="162" t="s">
        <v>148</v>
      </c>
      <c r="D34" s="460">
        <v>120000</v>
      </c>
    </row>
    <row r="35" spans="1:4" s="76" customFormat="1">
      <c r="A35" s="66" t="s">
        <v>157</v>
      </c>
      <c r="B35" s="310" t="s">
        <v>158</v>
      </c>
      <c r="C35" s="68" t="s">
        <v>159</v>
      </c>
      <c r="D35" s="74">
        <v>130000</v>
      </c>
    </row>
    <row r="36" spans="1:4" s="76" customFormat="1">
      <c r="A36" s="114" t="s">
        <v>167</v>
      </c>
      <c r="B36" s="313" t="s">
        <v>140</v>
      </c>
      <c r="C36" s="96" t="s">
        <v>168</v>
      </c>
      <c r="D36" s="99">
        <v>50000</v>
      </c>
    </row>
    <row r="37" spans="1:4" s="76" customFormat="1">
      <c r="A37" s="66" t="s">
        <v>169</v>
      </c>
      <c r="B37" s="103" t="s">
        <v>81</v>
      </c>
      <c r="C37" s="68" t="s">
        <v>170</v>
      </c>
      <c r="D37" s="74">
        <v>80000</v>
      </c>
    </row>
    <row r="38" spans="1:4" s="35" customFormat="1" ht="26.25">
      <c r="A38" s="29" t="s">
        <v>174</v>
      </c>
      <c r="B38" s="30"/>
      <c r="C38" s="31"/>
      <c r="D38" s="463" t="s">
        <v>34</v>
      </c>
    </row>
    <row r="39" spans="1:4" s="179" customFormat="1" ht="23.25">
      <c r="A39" s="356" t="s">
        <v>550</v>
      </c>
      <c r="B39" s="176"/>
      <c r="C39" s="49"/>
      <c r="D39" s="465">
        <f>D40+D41</f>
        <v>1903100</v>
      </c>
    </row>
    <row r="40" spans="1:4" s="58" customFormat="1">
      <c r="A40" s="181" t="s">
        <v>178</v>
      </c>
      <c r="B40" s="52" t="s">
        <v>41</v>
      </c>
      <c r="C40" s="52" t="s">
        <v>179</v>
      </c>
      <c r="D40" s="55">
        <v>1736100</v>
      </c>
    </row>
    <row r="41" spans="1:4" s="76" customFormat="1">
      <c r="A41" s="51" t="s">
        <v>180</v>
      </c>
      <c r="B41" s="197" t="s">
        <v>181</v>
      </c>
      <c r="C41" s="69" t="s">
        <v>570</v>
      </c>
      <c r="D41" s="72">
        <v>167000</v>
      </c>
    </row>
    <row r="42" spans="1:4" s="76" customFormat="1">
      <c r="A42" s="66" t="s">
        <v>183</v>
      </c>
      <c r="B42" s="67" t="s">
        <v>181</v>
      </c>
      <c r="C42" s="68" t="s">
        <v>184</v>
      </c>
      <c r="D42" s="74">
        <v>10000</v>
      </c>
    </row>
    <row r="43" spans="1:4" s="76" customFormat="1">
      <c r="A43" s="66" t="s">
        <v>183</v>
      </c>
      <c r="B43" s="67" t="s">
        <v>181</v>
      </c>
      <c r="C43" s="68" t="s">
        <v>187</v>
      </c>
      <c r="D43" s="74">
        <v>50000</v>
      </c>
    </row>
    <row r="44" spans="1:4" s="76" customFormat="1">
      <c r="A44" s="66" t="s">
        <v>194</v>
      </c>
      <c r="B44" s="67" t="s">
        <v>181</v>
      </c>
      <c r="C44" s="68" t="s">
        <v>195</v>
      </c>
      <c r="D44" s="74">
        <v>30000</v>
      </c>
    </row>
    <row r="45" spans="1:4" s="76" customFormat="1">
      <c r="A45" s="66" t="s">
        <v>200</v>
      </c>
      <c r="B45" s="67" t="s">
        <v>181</v>
      </c>
      <c r="C45" s="68" t="s">
        <v>201</v>
      </c>
      <c r="D45" s="74">
        <v>50000</v>
      </c>
    </row>
    <row r="46" spans="1:4" s="76" customFormat="1">
      <c r="A46" s="66" t="s">
        <v>208</v>
      </c>
      <c r="B46" s="67" t="s">
        <v>181</v>
      </c>
      <c r="C46" s="68" t="s">
        <v>209</v>
      </c>
      <c r="D46" s="74">
        <v>27000</v>
      </c>
    </row>
    <row r="47" spans="1:4" s="179" customFormat="1" ht="23.25">
      <c r="A47" s="356" t="s">
        <v>551</v>
      </c>
      <c r="B47" s="176"/>
      <c r="C47" s="49"/>
      <c r="D47" s="464">
        <v>2570000</v>
      </c>
    </row>
    <row r="48" spans="1:4" s="58" customFormat="1">
      <c r="A48" s="51" t="s">
        <v>218</v>
      </c>
      <c r="B48" s="316" t="s">
        <v>41</v>
      </c>
      <c r="C48" s="189" t="s">
        <v>219</v>
      </c>
      <c r="D48" s="256">
        <v>470000</v>
      </c>
    </row>
    <row r="49" spans="1:4" s="58" customFormat="1">
      <c r="A49" s="51" t="s">
        <v>228</v>
      </c>
      <c r="B49" s="197" t="s">
        <v>55</v>
      </c>
      <c r="C49" s="199" t="s">
        <v>229</v>
      </c>
      <c r="D49" s="256">
        <v>2100000</v>
      </c>
    </row>
    <row r="50" spans="1:4" s="179" customFormat="1" ht="23.25">
      <c r="A50" s="356" t="s">
        <v>239</v>
      </c>
      <c r="B50" s="176"/>
      <c r="C50" s="49"/>
      <c r="D50" s="464">
        <v>6689000</v>
      </c>
    </row>
    <row r="51" spans="1:4" s="58" customFormat="1">
      <c r="A51" s="51" t="s">
        <v>241</v>
      </c>
      <c r="B51" s="316" t="s">
        <v>41</v>
      </c>
      <c r="C51" s="52" t="s">
        <v>242</v>
      </c>
      <c r="D51" s="55">
        <v>3333750</v>
      </c>
    </row>
    <row r="52" spans="1:4" s="58" customFormat="1" ht="21.75" customHeight="1">
      <c r="A52" s="392"/>
      <c r="B52" s="393" t="s">
        <v>34</v>
      </c>
      <c r="C52" s="394" t="s">
        <v>564</v>
      </c>
      <c r="D52" s="397">
        <v>3355250</v>
      </c>
    </row>
    <row r="53" spans="1:4" s="413" customFormat="1">
      <c r="A53" s="409" t="s">
        <v>247</v>
      </c>
      <c r="B53" s="410" t="s">
        <v>41</v>
      </c>
      <c r="C53" s="402" t="s">
        <v>248</v>
      </c>
      <c r="D53" s="449">
        <v>6750</v>
      </c>
    </row>
    <row r="54" spans="1:4" s="413" customFormat="1">
      <c r="A54" s="409" t="s">
        <v>251</v>
      </c>
      <c r="B54" s="410" t="s">
        <v>41</v>
      </c>
      <c r="C54" s="402" t="s">
        <v>252</v>
      </c>
      <c r="D54" s="449">
        <v>6600</v>
      </c>
    </row>
    <row r="55" spans="1:4" s="413" customFormat="1">
      <c r="A55" s="409" t="s">
        <v>256</v>
      </c>
      <c r="B55" s="410" t="s">
        <v>41</v>
      </c>
      <c r="C55" s="402" t="s">
        <v>257</v>
      </c>
      <c r="D55" s="449">
        <v>8200</v>
      </c>
    </row>
    <row r="56" spans="1:4" s="413" customFormat="1">
      <c r="A56" s="409" t="s">
        <v>262</v>
      </c>
      <c r="B56" s="410" t="s">
        <v>41</v>
      </c>
      <c r="C56" s="402" t="s">
        <v>263</v>
      </c>
      <c r="D56" s="449">
        <v>8000</v>
      </c>
    </row>
    <row r="57" spans="1:4" s="413" customFormat="1">
      <c r="A57" s="409" t="s">
        <v>266</v>
      </c>
      <c r="B57" s="414" t="s">
        <v>41</v>
      </c>
      <c r="C57" s="402" t="s">
        <v>267</v>
      </c>
      <c r="D57" s="449">
        <v>4100</v>
      </c>
    </row>
    <row r="58" spans="1:4" s="413" customFormat="1">
      <c r="A58" s="409" t="s">
        <v>270</v>
      </c>
      <c r="B58" s="410" t="s">
        <v>128</v>
      </c>
      <c r="C58" s="402" t="s">
        <v>271</v>
      </c>
      <c r="D58" s="449">
        <v>7200</v>
      </c>
    </row>
    <row r="59" spans="1:4" s="413" customFormat="1">
      <c r="A59" s="409" t="s">
        <v>274</v>
      </c>
      <c r="B59" s="410" t="s">
        <v>41</v>
      </c>
      <c r="C59" s="402" t="s">
        <v>275</v>
      </c>
      <c r="D59" s="449">
        <v>1400000</v>
      </c>
    </row>
    <row r="60" spans="1:4" s="413" customFormat="1">
      <c r="A60" s="409" t="s">
        <v>277</v>
      </c>
      <c r="B60" s="410" t="s">
        <v>41</v>
      </c>
      <c r="C60" s="402" t="s">
        <v>278</v>
      </c>
      <c r="D60" s="449">
        <v>45000</v>
      </c>
    </row>
    <row r="61" spans="1:4" s="413" customFormat="1">
      <c r="A61" s="409" t="s">
        <v>286</v>
      </c>
      <c r="B61" s="415" t="s">
        <v>41</v>
      </c>
      <c r="C61" s="402" t="s">
        <v>565</v>
      </c>
      <c r="D61" s="405">
        <v>0</v>
      </c>
    </row>
    <row r="62" spans="1:4" s="413" customFormat="1">
      <c r="A62" s="409" t="s">
        <v>297</v>
      </c>
      <c r="B62" s="410" t="s">
        <v>41</v>
      </c>
      <c r="C62" s="402" t="s">
        <v>298</v>
      </c>
      <c r="D62" s="449">
        <v>20000</v>
      </c>
    </row>
    <row r="63" spans="1:4" s="413" customFormat="1">
      <c r="A63" s="409" t="s">
        <v>301</v>
      </c>
      <c r="B63" s="410" t="s">
        <v>41</v>
      </c>
      <c r="C63" s="402" t="s">
        <v>302</v>
      </c>
      <c r="D63" s="449">
        <v>10500</v>
      </c>
    </row>
    <row r="64" spans="1:4" s="413" customFormat="1">
      <c r="A64" s="409" t="s">
        <v>305</v>
      </c>
      <c r="B64" s="410" t="s">
        <v>41</v>
      </c>
      <c r="C64" s="402" t="s">
        <v>306</v>
      </c>
      <c r="D64" s="449">
        <v>20000</v>
      </c>
    </row>
    <row r="65" spans="1:4" s="413" customFormat="1">
      <c r="A65" s="409" t="s">
        <v>309</v>
      </c>
      <c r="B65" s="410" t="s">
        <v>41</v>
      </c>
      <c r="C65" s="402" t="s">
        <v>310</v>
      </c>
      <c r="D65" s="449">
        <v>20000</v>
      </c>
    </row>
    <row r="66" spans="1:4" s="413" customFormat="1">
      <c r="A66" s="409" t="s">
        <v>311</v>
      </c>
      <c r="B66" s="422" t="s">
        <v>45</v>
      </c>
      <c r="C66" s="390" t="s">
        <v>312</v>
      </c>
      <c r="D66" s="412">
        <v>3000</v>
      </c>
    </row>
    <row r="67" spans="1:4" s="413" customFormat="1">
      <c r="A67" s="409" t="s">
        <v>318</v>
      </c>
      <c r="B67" s="422" t="s">
        <v>45</v>
      </c>
      <c r="C67" s="390" t="s">
        <v>319</v>
      </c>
      <c r="D67" s="412">
        <v>13500</v>
      </c>
    </row>
    <row r="68" spans="1:4" s="413" customFormat="1">
      <c r="A68" s="409" t="s">
        <v>326</v>
      </c>
      <c r="B68" s="422" t="s">
        <v>106</v>
      </c>
      <c r="C68" s="390" t="s">
        <v>327</v>
      </c>
      <c r="D68" s="412">
        <v>11100</v>
      </c>
    </row>
    <row r="69" spans="1:4" s="413" customFormat="1">
      <c r="A69" s="409" t="s">
        <v>331</v>
      </c>
      <c r="B69" s="430" t="s">
        <v>89</v>
      </c>
      <c r="C69" s="431" t="s">
        <v>332</v>
      </c>
      <c r="D69" s="412">
        <v>17100</v>
      </c>
    </row>
    <row r="70" spans="1:4" s="413" customFormat="1" ht="42">
      <c r="A70" s="409" t="s">
        <v>338</v>
      </c>
      <c r="B70" s="422" t="s">
        <v>81</v>
      </c>
      <c r="C70" s="390" t="s">
        <v>339</v>
      </c>
      <c r="D70" s="412">
        <v>16200</v>
      </c>
    </row>
    <row r="71" spans="1:4" s="413" customFormat="1" ht="42">
      <c r="A71" s="409" t="s">
        <v>344</v>
      </c>
      <c r="B71" s="422" t="s">
        <v>81</v>
      </c>
      <c r="C71" s="431" t="s">
        <v>569</v>
      </c>
      <c r="D71" s="412">
        <v>20000</v>
      </c>
    </row>
    <row r="72" spans="1:4" s="413" customFormat="1" ht="42">
      <c r="A72" s="409" t="s">
        <v>349</v>
      </c>
      <c r="B72" s="436" t="s">
        <v>140</v>
      </c>
      <c r="C72" s="390" t="s">
        <v>350</v>
      </c>
      <c r="D72" s="412">
        <v>19500</v>
      </c>
    </row>
    <row r="73" spans="1:4" s="413" customFormat="1" ht="42">
      <c r="A73" s="409" t="s">
        <v>353</v>
      </c>
      <c r="B73" s="436" t="s">
        <v>140</v>
      </c>
      <c r="C73" s="390" t="s">
        <v>354</v>
      </c>
      <c r="D73" s="412">
        <v>50000</v>
      </c>
    </row>
    <row r="74" spans="1:4" s="413" customFormat="1">
      <c r="A74" s="409" t="s">
        <v>356</v>
      </c>
      <c r="B74" s="422" t="s">
        <v>357</v>
      </c>
      <c r="C74" s="390" t="s">
        <v>358</v>
      </c>
      <c r="D74" s="412">
        <v>25000</v>
      </c>
    </row>
    <row r="75" spans="1:4" s="413" customFormat="1">
      <c r="A75" s="409" t="s">
        <v>364</v>
      </c>
      <c r="B75" s="422" t="s">
        <v>365</v>
      </c>
      <c r="C75" s="390" t="s">
        <v>366</v>
      </c>
      <c r="D75" s="412">
        <v>30000</v>
      </c>
    </row>
    <row r="76" spans="1:4" s="413" customFormat="1">
      <c r="A76" s="409" t="s">
        <v>368</v>
      </c>
      <c r="B76" s="414" t="s">
        <v>128</v>
      </c>
      <c r="C76" s="402" t="s">
        <v>369</v>
      </c>
      <c r="D76" s="449">
        <v>75000</v>
      </c>
    </row>
    <row r="77" spans="1:4" s="413" customFormat="1">
      <c r="A77" s="409" t="s">
        <v>375</v>
      </c>
      <c r="B77" s="414" t="s">
        <v>41</v>
      </c>
      <c r="C77" s="402" t="s">
        <v>376</v>
      </c>
      <c r="D77" s="449">
        <v>5000</v>
      </c>
    </row>
    <row r="78" spans="1:4" s="413" customFormat="1">
      <c r="A78" s="409" t="s">
        <v>380</v>
      </c>
      <c r="B78" s="414" t="s">
        <v>41</v>
      </c>
      <c r="C78" s="402" t="s">
        <v>381</v>
      </c>
      <c r="D78" s="449">
        <v>25000</v>
      </c>
    </row>
    <row r="79" spans="1:4" s="413" customFormat="1">
      <c r="A79" s="409" t="s">
        <v>383</v>
      </c>
      <c r="B79" s="422" t="s">
        <v>181</v>
      </c>
      <c r="C79" s="390" t="s">
        <v>566</v>
      </c>
      <c r="D79" s="412">
        <v>40000</v>
      </c>
    </row>
    <row r="80" spans="1:4" s="413" customFormat="1" ht="42">
      <c r="A80" s="409" t="s">
        <v>388</v>
      </c>
      <c r="B80" s="414" t="s">
        <v>45</v>
      </c>
      <c r="C80" s="402" t="s">
        <v>389</v>
      </c>
      <c r="D80" s="449">
        <v>10000</v>
      </c>
    </row>
    <row r="81" spans="1:4" s="438" customFormat="1">
      <c r="A81" s="409" t="s">
        <v>390</v>
      </c>
      <c r="B81" s="414" t="s">
        <v>128</v>
      </c>
      <c r="C81" s="402" t="s">
        <v>391</v>
      </c>
      <c r="D81" s="405">
        <v>80000</v>
      </c>
    </row>
    <row r="82" spans="1:4" s="438" customFormat="1">
      <c r="A82" s="409" t="s">
        <v>393</v>
      </c>
      <c r="B82" s="414" t="s">
        <v>128</v>
      </c>
      <c r="C82" s="402" t="s">
        <v>394</v>
      </c>
      <c r="D82" s="405">
        <v>27000</v>
      </c>
    </row>
    <row r="83" spans="1:4" s="413" customFormat="1">
      <c r="A83" s="409" t="s">
        <v>397</v>
      </c>
      <c r="B83" s="422" t="s">
        <v>55</v>
      </c>
      <c r="C83" s="390" t="s">
        <v>398</v>
      </c>
      <c r="D83" s="412">
        <v>50000</v>
      </c>
    </row>
    <row r="84" spans="1:4" s="413" customFormat="1">
      <c r="A84" s="409" t="s">
        <v>400</v>
      </c>
      <c r="B84" s="436" t="s">
        <v>101</v>
      </c>
      <c r="C84" s="390" t="s">
        <v>401</v>
      </c>
      <c r="D84" s="412">
        <v>40000</v>
      </c>
    </row>
    <row r="85" spans="1:4" s="413" customFormat="1">
      <c r="A85" s="409" t="s">
        <v>403</v>
      </c>
      <c r="B85" s="436" t="s">
        <v>101</v>
      </c>
      <c r="C85" s="390" t="s">
        <v>404</v>
      </c>
      <c r="D85" s="412">
        <v>10000</v>
      </c>
    </row>
    <row r="86" spans="1:4" s="413" customFormat="1">
      <c r="A86" s="409" t="s">
        <v>405</v>
      </c>
      <c r="B86" s="436" t="s">
        <v>101</v>
      </c>
      <c r="C86" s="390" t="s">
        <v>406</v>
      </c>
      <c r="D86" s="412">
        <v>46500</v>
      </c>
    </row>
    <row r="87" spans="1:4" s="413" customFormat="1">
      <c r="A87" s="469" t="s">
        <v>407</v>
      </c>
      <c r="B87" s="431" t="s">
        <v>357</v>
      </c>
      <c r="C87" s="431" t="s">
        <v>408</v>
      </c>
      <c r="D87" s="435">
        <v>415000</v>
      </c>
    </row>
    <row r="88" spans="1:4" s="413" customFormat="1">
      <c r="A88" s="399" t="s">
        <v>409</v>
      </c>
      <c r="B88" s="390" t="s">
        <v>357</v>
      </c>
      <c r="C88" s="390" t="s">
        <v>410</v>
      </c>
      <c r="D88" s="412">
        <v>30000</v>
      </c>
    </row>
    <row r="89" spans="1:4" s="468" customFormat="1">
      <c r="A89" s="470" t="s">
        <v>411</v>
      </c>
      <c r="B89" s="466" t="s">
        <v>357</v>
      </c>
      <c r="C89" s="466" t="s">
        <v>412</v>
      </c>
      <c r="D89" s="467">
        <v>320000</v>
      </c>
    </row>
    <row r="90" spans="1:4" s="413" customFormat="1">
      <c r="A90" s="399" t="s">
        <v>413</v>
      </c>
      <c r="B90" s="390" t="s">
        <v>41</v>
      </c>
      <c r="C90" s="390" t="s">
        <v>414</v>
      </c>
      <c r="D90" s="412">
        <v>420000</v>
      </c>
    </row>
    <row r="91" spans="1:4" s="263" customFormat="1" ht="31.5">
      <c r="A91" s="258" t="s">
        <v>415</v>
      </c>
      <c r="B91" s="259"/>
      <c r="C91" s="260"/>
      <c r="D91" s="471" t="s">
        <v>34</v>
      </c>
    </row>
    <row r="92" spans="1:4" s="179" customFormat="1" ht="23.25">
      <c r="A92" s="356" t="s">
        <v>416</v>
      </c>
      <c r="B92" s="344"/>
      <c r="C92" s="361"/>
      <c r="D92" s="465">
        <v>3806000</v>
      </c>
    </row>
    <row r="93" spans="1:4" s="58" customFormat="1">
      <c r="A93" s="51" t="s">
        <v>417</v>
      </c>
      <c r="B93" s="451" t="s">
        <v>89</v>
      </c>
      <c r="C93" s="189" t="s">
        <v>418</v>
      </c>
      <c r="D93" s="256">
        <v>1193500</v>
      </c>
    </row>
    <row r="94" spans="1:4" s="58" customFormat="1" ht="42">
      <c r="A94" s="181" t="s">
        <v>419</v>
      </c>
      <c r="B94" s="199" t="s">
        <v>45</v>
      </c>
      <c r="C94" s="199" t="s">
        <v>420</v>
      </c>
      <c r="D94" s="202">
        <v>1321100</v>
      </c>
    </row>
    <row r="95" spans="1:4" s="58" customFormat="1">
      <c r="A95" s="51" t="s">
        <v>421</v>
      </c>
      <c r="B95" s="451" t="s">
        <v>89</v>
      </c>
      <c r="C95" s="189" t="s">
        <v>422</v>
      </c>
      <c r="D95" s="256">
        <v>368500</v>
      </c>
    </row>
    <row r="96" spans="1:4" s="58" customFormat="1">
      <c r="A96" s="51" t="s">
        <v>423</v>
      </c>
      <c r="B96" s="451" t="s">
        <v>89</v>
      </c>
      <c r="C96" s="189" t="s">
        <v>424</v>
      </c>
      <c r="D96" s="256">
        <v>312400</v>
      </c>
    </row>
    <row r="97" spans="1:4" s="58" customFormat="1">
      <c r="A97" s="51" t="s">
        <v>425</v>
      </c>
      <c r="B97" s="451" t="s">
        <v>89</v>
      </c>
      <c r="C97" s="189" t="s">
        <v>426</v>
      </c>
      <c r="D97" s="256">
        <v>336600</v>
      </c>
    </row>
    <row r="98" spans="1:4" s="58" customFormat="1">
      <c r="A98" s="51" t="s">
        <v>427</v>
      </c>
      <c r="B98" s="189" t="s">
        <v>45</v>
      </c>
      <c r="C98" s="189" t="s">
        <v>428</v>
      </c>
      <c r="D98" s="256">
        <v>273900</v>
      </c>
    </row>
    <row r="99" spans="1:4" s="179" customFormat="1" ht="23.25">
      <c r="A99" s="472" t="s">
        <v>429</v>
      </c>
      <c r="B99" s="176"/>
      <c r="C99" s="49"/>
      <c r="D99" s="464">
        <v>415000</v>
      </c>
    </row>
    <row r="100" spans="1:4" s="159" customFormat="1">
      <c r="A100" s="265" t="s">
        <v>34</v>
      </c>
      <c r="B100" s="151" t="s">
        <v>357</v>
      </c>
      <c r="C100" s="151" t="s">
        <v>430</v>
      </c>
      <c r="D100" s="155">
        <v>415000</v>
      </c>
    </row>
    <row r="101" spans="1:4" s="76" customFormat="1">
      <c r="A101" s="66" t="s">
        <v>431</v>
      </c>
      <c r="B101" s="68" t="s">
        <v>357</v>
      </c>
      <c r="C101" s="115" t="s">
        <v>432</v>
      </c>
      <c r="D101" s="73">
        <v>100000</v>
      </c>
    </row>
    <row r="102" spans="1:4" s="76" customFormat="1">
      <c r="A102" s="66" t="s">
        <v>433</v>
      </c>
      <c r="B102" s="68" t="s">
        <v>357</v>
      </c>
      <c r="C102" s="115" t="s">
        <v>434</v>
      </c>
      <c r="D102" s="73">
        <v>80000</v>
      </c>
    </row>
    <row r="103" spans="1:4" s="76" customFormat="1">
      <c r="A103" s="114" t="s">
        <v>435</v>
      </c>
      <c r="B103" s="96" t="s">
        <v>357</v>
      </c>
      <c r="C103" s="115" t="s">
        <v>436</v>
      </c>
      <c r="D103" s="73">
        <v>30000</v>
      </c>
    </row>
    <row r="104" spans="1:4" s="76" customFormat="1">
      <c r="A104" s="66" t="s">
        <v>437</v>
      </c>
      <c r="B104" s="68" t="s">
        <v>357</v>
      </c>
      <c r="C104" s="115" t="s">
        <v>438</v>
      </c>
      <c r="D104" s="73">
        <v>5000</v>
      </c>
    </row>
    <row r="105" spans="1:4" s="76" customFormat="1">
      <c r="A105" s="66" t="s">
        <v>437</v>
      </c>
      <c r="B105" s="68" t="s">
        <v>357</v>
      </c>
      <c r="C105" s="115" t="s">
        <v>439</v>
      </c>
      <c r="D105" s="73">
        <v>200000</v>
      </c>
    </row>
    <row r="106" spans="1:4" s="263" customFormat="1" ht="31.5">
      <c r="A106" s="258" t="s">
        <v>440</v>
      </c>
      <c r="B106" s="259"/>
      <c r="C106" s="260"/>
      <c r="D106" s="471" t="s">
        <v>34</v>
      </c>
    </row>
    <row r="107" spans="1:4" s="179" customFormat="1" ht="23.25">
      <c r="A107" s="356" t="s">
        <v>416</v>
      </c>
      <c r="B107" s="176"/>
      <c r="C107" s="49"/>
      <c r="D107" s="465">
        <v>1887700</v>
      </c>
    </row>
    <row r="108" spans="1:4" s="58" customFormat="1">
      <c r="A108" s="51" t="s">
        <v>441</v>
      </c>
      <c r="B108" s="189" t="s">
        <v>45</v>
      </c>
      <c r="C108" s="189" t="s">
        <v>442</v>
      </c>
      <c r="D108" s="256">
        <v>60000</v>
      </c>
    </row>
    <row r="109" spans="1:4" s="58" customFormat="1">
      <c r="A109" s="51" t="s">
        <v>448</v>
      </c>
      <c r="B109" s="189" t="s">
        <v>45</v>
      </c>
      <c r="C109" s="199" t="s">
        <v>449</v>
      </c>
      <c r="D109" s="202">
        <v>259200</v>
      </c>
    </row>
    <row r="110" spans="1:4" s="58" customFormat="1">
      <c r="A110" s="51" t="s">
        <v>454</v>
      </c>
      <c r="B110" s="199" t="s">
        <v>455</v>
      </c>
      <c r="C110" s="199" t="s">
        <v>456</v>
      </c>
      <c r="D110" s="202">
        <v>200000</v>
      </c>
    </row>
    <row r="111" spans="1:4" s="58" customFormat="1">
      <c r="A111" s="51" t="s">
        <v>457</v>
      </c>
      <c r="B111" s="199" t="s">
        <v>81</v>
      </c>
      <c r="C111" s="199" t="s">
        <v>458</v>
      </c>
      <c r="D111" s="475" t="s">
        <v>459</v>
      </c>
    </row>
    <row r="112" spans="1:4" s="58" customFormat="1">
      <c r="A112" s="51" t="s">
        <v>460</v>
      </c>
      <c r="B112" s="199" t="s">
        <v>81</v>
      </c>
      <c r="C112" s="189" t="s">
        <v>461</v>
      </c>
      <c r="D112" s="256">
        <v>0</v>
      </c>
    </row>
    <row r="113" spans="1:4" s="58" customFormat="1">
      <c r="A113" s="51" t="s">
        <v>462</v>
      </c>
      <c r="B113" s="199" t="s">
        <v>81</v>
      </c>
      <c r="C113" s="189" t="s">
        <v>463</v>
      </c>
      <c r="D113" s="256">
        <v>130000</v>
      </c>
    </row>
    <row r="114" spans="1:4" s="58" customFormat="1">
      <c r="A114" s="51" t="s">
        <v>464</v>
      </c>
      <c r="B114" s="199" t="s">
        <v>81</v>
      </c>
      <c r="C114" s="189" t="s">
        <v>465</v>
      </c>
      <c r="D114" s="256">
        <v>134000</v>
      </c>
    </row>
    <row r="115" spans="1:4" s="58" customFormat="1">
      <c r="A115" s="54">
        <v>21</v>
      </c>
      <c r="B115" s="451" t="s">
        <v>89</v>
      </c>
      <c r="C115" s="189" t="s">
        <v>466</v>
      </c>
      <c r="D115" s="256">
        <v>68500</v>
      </c>
    </row>
    <row r="116" spans="1:4" s="58" customFormat="1" ht="42">
      <c r="A116" s="183">
        <v>22</v>
      </c>
      <c r="B116" s="189" t="s">
        <v>357</v>
      </c>
      <c r="C116" s="199" t="s">
        <v>470</v>
      </c>
      <c r="D116" s="202">
        <v>900000</v>
      </c>
    </row>
    <row r="117" spans="1:4" s="58" customFormat="1">
      <c r="A117" s="183">
        <v>23</v>
      </c>
      <c r="B117" s="189" t="s">
        <v>357</v>
      </c>
      <c r="C117" s="199" t="s">
        <v>471</v>
      </c>
      <c r="D117" s="202">
        <v>136000</v>
      </c>
    </row>
    <row r="118" spans="1:4" s="179" customFormat="1" ht="23.25">
      <c r="A118" s="472" t="s">
        <v>429</v>
      </c>
      <c r="B118" s="176"/>
      <c r="C118" s="49"/>
      <c r="D118" s="464">
        <v>30000</v>
      </c>
    </row>
    <row r="119" spans="1:4" s="159" customFormat="1">
      <c r="A119" s="265" t="s">
        <v>34</v>
      </c>
      <c r="B119" s="151" t="s">
        <v>357</v>
      </c>
      <c r="C119" s="151" t="s">
        <v>472</v>
      </c>
      <c r="D119" s="155">
        <v>30000</v>
      </c>
    </row>
    <row r="120" spans="1:4" s="76" customFormat="1">
      <c r="A120" s="90" t="s">
        <v>473</v>
      </c>
      <c r="B120" s="103" t="s">
        <v>81</v>
      </c>
      <c r="C120" s="68" t="s">
        <v>557</v>
      </c>
      <c r="D120" s="74">
        <v>30000</v>
      </c>
    </row>
    <row r="121" spans="1:4" s="263" customFormat="1" ht="31.5">
      <c r="A121" s="258" t="s">
        <v>479</v>
      </c>
      <c r="B121" s="476"/>
      <c r="C121" s="260"/>
      <c r="D121" s="471" t="s">
        <v>34</v>
      </c>
    </row>
    <row r="122" spans="1:4" s="179" customFormat="1" ht="23.25">
      <c r="A122" s="356" t="s">
        <v>416</v>
      </c>
      <c r="B122" s="176"/>
      <c r="C122" s="49"/>
      <c r="D122" s="465">
        <v>480000</v>
      </c>
    </row>
    <row r="123" spans="1:4" s="58" customFormat="1">
      <c r="A123" s="51" t="s">
        <v>480</v>
      </c>
      <c r="B123" s="199" t="s">
        <v>455</v>
      </c>
      <c r="C123" s="199" t="s">
        <v>481</v>
      </c>
      <c r="D123" s="202">
        <v>150000</v>
      </c>
    </row>
    <row r="124" spans="1:4" s="58" customFormat="1">
      <c r="A124" s="51" t="s">
        <v>482</v>
      </c>
      <c r="B124" s="199" t="s">
        <v>455</v>
      </c>
      <c r="C124" s="199" t="s">
        <v>483</v>
      </c>
      <c r="D124" s="202">
        <v>150000</v>
      </c>
    </row>
    <row r="125" spans="1:4" s="58" customFormat="1">
      <c r="A125" s="51" t="s">
        <v>484</v>
      </c>
      <c r="B125" s="199" t="s">
        <v>365</v>
      </c>
      <c r="C125" s="52" t="s">
        <v>556</v>
      </c>
      <c r="D125" s="55">
        <v>100000</v>
      </c>
    </row>
    <row r="126" spans="1:4" s="58" customFormat="1">
      <c r="A126" s="51" t="s">
        <v>495</v>
      </c>
      <c r="B126" s="199" t="s">
        <v>365</v>
      </c>
      <c r="C126" s="52" t="s">
        <v>555</v>
      </c>
      <c r="D126" s="55">
        <v>80000</v>
      </c>
    </row>
    <row r="127" spans="1:4" s="179" customFormat="1" ht="23.25">
      <c r="A127" s="472" t="s">
        <v>429</v>
      </c>
      <c r="B127" s="473"/>
      <c r="C127" s="474"/>
      <c r="D127" s="477">
        <v>320000</v>
      </c>
    </row>
    <row r="128" spans="1:4" s="159" customFormat="1">
      <c r="A128" s="265" t="s">
        <v>34</v>
      </c>
      <c r="B128" s="151" t="s">
        <v>357</v>
      </c>
      <c r="C128" s="151" t="s">
        <v>552</v>
      </c>
      <c r="D128" s="155">
        <v>320000</v>
      </c>
    </row>
    <row r="129" spans="1:4" s="76" customFormat="1">
      <c r="A129" s="66" t="s">
        <v>431</v>
      </c>
      <c r="B129" s="68" t="s">
        <v>181</v>
      </c>
      <c r="C129" s="68" t="s">
        <v>553</v>
      </c>
      <c r="D129" s="74">
        <v>20000</v>
      </c>
    </row>
    <row r="130" spans="1:4" s="76" customFormat="1">
      <c r="A130" s="114" t="s">
        <v>433</v>
      </c>
      <c r="B130" s="103" t="s">
        <v>106</v>
      </c>
      <c r="C130" s="68" t="s">
        <v>554</v>
      </c>
      <c r="D130" s="74">
        <v>300000</v>
      </c>
    </row>
    <row r="131" spans="1:4" s="172" customFormat="1">
      <c r="A131" s="337"/>
      <c r="B131" s="338"/>
      <c r="C131" s="338"/>
      <c r="D131" s="338"/>
    </row>
    <row r="132" spans="1:4" s="172" customFormat="1">
      <c r="A132" s="337"/>
      <c r="B132" s="338"/>
      <c r="C132" s="338"/>
      <c r="D132" s="338"/>
    </row>
    <row r="133" spans="1:4" s="172" customFormat="1">
      <c r="A133" s="337"/>
      <c r="B133" s="338"/>
      <c r="C133" s="338"/>
      <c r="D133" s="338"/>
    </row>
    <row r="134" spans="1:4" s="172" customFormat="1">
      <c r="A134" s="337"/>
      <c r="B134" s="338"/>
      <c r="C134" s="338"/>
      <c r="D134" s="338"/>
    </row>
    <row r="135" spans="1:4" s="172" customFormat="1">
      <c r="A135" s="337"/>
      <c r="B135" s="338"/>
      <c r="C135" s="338"/>
      <c r="D135" s="338"/>
    </row>
    <row r="136" spans="1:4" s="172" customFormat="1">
      <c r="A136" s="337"/>
      <c r="B136" s="338"/>
      <c r="C136" s="338"/>
      <c r="D136" s="338"/>
    </row>
  </sheetData>
  <mergeCells count="3">
    <mergeCell ref="A3:A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รายละเอียดแผนปฏิบัติการ</vt:lpstr>
      <vt:lpstr>การติดตามผลการดำเนินงานแผน</vt:lpstr>
      <vt:lpstr>รายงานการดำเนินงาน</vt:lpstr>
      <vt:lpstr>สรุปไตรมาส_1_2_3</vt:lpstr>
      <vt:lpstr>รายละเอียดงบประมาณโครงการ</vt:lpstr>
      <vt:lpstr>สรุปโครงการแจ้งการเงิน</vt:lpstr>
      <vt:lpstr>Sheet3</vt:lpstr>
      <vt:lpstr>รายงานการดำเนินงาน!Print_Titles</vt:lpstr>
      <vt:lpstr>รายละเอียดงบประมาณโครงการ!Print_Titles</vt:lpstr>
      <vt:lpstr>รายละเอียดแผนปฏิบัติการ!Print_Titles</vt:lpstr>
      <vt:lpstr>สรุปโครงการแจ้งการเงิน!Print_Titles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 user</dc:creator>
  <cp:lastModifiedBy>admin</cp:lastModifiedBy>
  <cp:lastPrinted>2011-11-21T05:37:13Z</cp:lastPrinted>
  <dcterms:created xsi:type="dcterms:W3CDTF">2010-12-15T06:56:37Z</dcterms:created>
  <dcterms:modified xsi:type="dcterms:W3CDTF">2011-11-21T09:57:40Z</dcterms:modified>
</cp:coreProperties>
</file>