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 activeTab="1"/>
  </bookViews>
  <sheets>
    <sheet name="Action_plan2557" sheetId="1" r:id="rId1"/>
    <sheet name="repor6_traimas1" sheetId="6" r:id="rId2"/>
    <sheet name="summary2557" sheetId="5" r:id="rId3"/>
    <sheet name="รายการที่ขอเพิ่มใน UBUFMIS" sheetId="4" r:id="rId4"/>
    <sheet name="Sheet2" sheetId="2" r:id="rId5"/>
    <sheet name="Sheet3" sheetId="3" r:id="rId6"/>
  </sheets>
  <externalReferences>
    <externalReference r:id="rId7"/>
    <externalReference r:id="rId8"/>
  </externalReferences>
  <definedNames>
    <definedName name="_xlnm.Print_Titles" localSheetId="0">Action_plan2557!$2:$4</definedName>
    <definedName name="_xlnm.Print_Titles" localSheetId="1">repor6_traimas1!$2:$4</definedName>
  </definedNames>
  <calcPr calcId="124519"/>
</workbook>
</file>

<file path=xl/calcChain.xml><?xml version="1.0" encoding="utf-8"?>
<calcChain xmlns="http://schemas.openxmlformats.org/spreadsheetml/2006/main">
  <c r="O90" i="6"/>
  <c r="P90" s="1"/>
  <c r="O89"/>
  <c r="P89" s="1"/>
  <c r="O88"/>
  <c r="P88" s="1"/>
  <c r="O87"/>
  <c r="P87" s="1"/>
  <c r="O86"/>
  <c r="P86" s="1"/>
  <c r="O85"/>
  <c r="P85" s="1"/>
  <c r="O84"/>
  <c r="P84" s="1"/>
  <c r="O50"/>
  <c r="P50" s="1"/>
  <c r="O41"/>
  <c r="P41" s="1"/>
  <c r="O34"/>
  <c r="P34" s="1"/>
  <c r="O32"/>
  <c r="P32" s="1"/>
  <c r="O28"/>
  <c r="P28" s="1"/>
  <c r="N200"/>
  <c r="O200" s="1"/>
  <c r="P200" s="1"/>
  <c r="M200"/>
  <c r="L200"/>
  <c r="K200"/>
  <c r="L154"/>
  <c r="K154"/>
  <c r="L146"/>
  <c r="K146"/>
  <c r="K153"/>
  <c r="L153"/>
  <c r="O7"/>
  <c r="P7" s="1"/>
  <c r="L75"/>
  <c r="I47" i="1"/>
  <c r="L70" i="6"/>
  <c r="L62"/>
  <c r="K41"/>
  <c r="L51" l="1"/>
  <c r="N82"/>
  <c r="M82"/>
  <c r="L82"/>
  <c r="O82" s="1"/>
  <c r="K82"/>
  <c r="O17"/>
  <c r="P17" s="1"/>
  <c r="K48"/>
  <c r="K23" s="1"/>
  <c r="K22" s="1"/>
  <c r="N41"/>
  <c r="L34"/>
  <c r="L32"/>
  <c r="L28"/>
  <c r="L24"/>
  <c r="K250" i="1"/>
  <c r="L250" s="1"/>
  <c r="I249"/>
  <c r="K249" s="1"/>
  <c r="L249" s="1"/>
  <c r="K248"/>
  <c r="L248" s="1"/>
  <c r="K247"/>
  <c r="L247" s="1"/>
  <c r="K246"/>
  <c r="L246" s="1"/>
  <c r="K245"/>
  <c r="L245" s="1"/>
  <c r="K244"/>
  <c r="L244" s="1"/>
  <c r="K243"/>
  <c r="L243" s="1"/>
  <c r="K242"/>
  <c r="L242" s="1"/>
  <c r="K241"/>
  <c r="L241" s="1"/>
  <c r="K240"/>
  <c r="L240" s="1"/>
  <c r="K239"/>
  <c r="L239" s="1"/>
  <c r="K238"/>
  <c r="L238" s="1"/>
  <c r="K237"/>
  <c r="L237" s="1"/>
  <c r="K236"/>
  <c r="L236" s="1"/>
  <c r="K235"/>
  <c r="L235" s="1"/>
  <c r="K234"/>
  <c r="L234" s="1"/>
  <c r="K233"/>
  <c r="L233" s="1"/>
  <c r="K232"/>
  <c r="L232" s="1"/>
  <c r="K231"/>
  <c r="L231" s="1"/>
  <c r="L230"/>
  <c r="K230"/>
  <c r="L229"/>
  <c r="K229"/>
  <c r="L228"/>
  <c r="K228"/>
  <c r="L227"/>
  <c r="K227"/>
  <c r="I226"/>
  <c r="K226" s="1"/>
  <c r="L226" s="1"/>
  <c r="I224"/>
  <c r="K224" s="1"/>
  <c r="L224" s="1"/>
  <c r="K223"/>
  <c r="L223" s="1"/>
  <c r="J222"/>
  <c r="K222" s="1"/>
  <c r="L222" s="1"/>
  <c r="K221"/>
  <c r="L221" s="1"/>
  <c r="J220"/>
  <c r="K220" s="1"/>
  <c r="L220" s="1"/>
  <c r="K219"/>
  <c r="L219" s="1"/>
  <c r="N218"/>
  <c r="K218"/>
  <c r="L218" s="1"/>
  <c r="J218"/>
  <c r="J217"/>
  <c r="K217" s="1"/>
  <c r="L217" s="1"/>
  <c r="J215"/>
  <c r="J214"/>
  <c r="G214"/>
  <c r="J213"/>
  <c r="G213"/>
  <c r="J212"/>
  <c r="K212" s="1"/>
  <c r="L212" s="1"/>
  <c r="K210"/>
  <c r="L210" s="1"/>
  <c r="J209"/>
  <c r="K209" s="1"/>
  <c r="L209" s="1"/>
  <c r="K208"/>
  <c r="L208" s="1"/>
  <c r="K207"/>
  <c r="L207" s="1"/>
  <c r="G207"/>
  <c r="K206"/>
  <c r="L206" s="1"/>
  <c r="K205"/>
  <c r="L205" s="1"/>
  <c r="J204"/>
  <c r="K204" s="1"/>
  <c r="L204" s="1"/>
  <c r="K203"/>
  <c r="L203" s="1"/>
  <c r="K202"/>
  <c r="L202" s="1"/>
  <c r="G202"/>
  <c r="J201"/>
  <c r="K201" s="1"/>
  <c r="L201" s="1"/>
  <c r="N200"/>
  <c r="K200"/>
  <c r="L200" s="1"/>
  <c r="K199"/>
  <c r="L199" s="1"/>
  <c r="J198"/>
  <c r="K198" s="1"/>
  <c r="L198" s="1"/>
  <c r="I197"/>
  <c r="K194"/>
  <c r="L194" s="1"/>
  <c r="K193"/>
  <c r="L193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J186"/>
  <c r="J185"/>
  <c r="K185" s="1"/>
  <c r="L185" s="1"/>
  <c r="K184"/>
  <c r="L184" s="1"/>
  <c r="K183"/>
  <c r="L183" s="1"/>
  <c r="K182"/>
  <c r="L182" s="1"/>
  <c r="J182"/>
  <c r="K181"/>
  <c r="L181" s="1"/>
  <c r="J180"/>
  <c r="K180" s="1"/>
  <c r="L180" s="1"/>
  <c r="K179"/>
  <c r="L179" s="1"/>
  <c r="G179"/>
  <c r="K178"/>
  <c r="L178" s="1"/>
  <c r="G178"/>
  <c r="J177" s="1"/>
  <c r="K177" s="1"/>
  <c r="L177" s="1"/>
  <c r="K176"/>
  <c r="L176" s="1"/>
  <c r="J175"/>
  <c r="K175" s="1"/>
  <c r="L175" s="1"/>
  <c r="K174"/>
  <c r="L174" s="1"/>
  <c r="K173"/>
  <c r="L173" s="1"/>
  <c r="G173"/>
  <c r="K172"/>
  <c r="L172" s="1"/>
  <c r="G172"/>
  <c r="K171"/>
  <c r="L171" s="1"/>
  <c r="G171"/>
  <c r="K170"/>
  <c r="L170" s="1"/>
  <c r="G170"/>
  <c r="K169"/>
  <c r="L169" s="1"/>
  <c r="G169"/>
  <c r="L168"/>
  <c r="K168"/>
  <c r="L167"/>
  <c r="K167"/>
  <c r="K166"/>
  <c r="L166" s="1"/>
  <c r="K165"/>
  <c r="L165" s="1"/>
  <c r="G165"/>
  <c r="J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J150"/>
  <c r="K150" s="1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I131"/>
  <c r="I130" s="1"/>
  <c r="I123" s="1"/>
  <c r="K126"/>
  <c r="L126" s="1"/>
  <c r="K125"/>
  <c r="L125" s="1"/>
  <c r="K124"/>
  <c r="L124" s="1"/>
  <c r="J123"/>
  <c r="H123"/>
  <c r="H122"/>
  <c r="K121"/>
  <c r="L121" s="1"/>
  <c r="K120"/>
  <c r="L120" s="1"/>
  <c r="K119"/>
  <c r="L119" s="1"/>
  <c r="K118"/>
  <c r="L118" s="1"/>
  <c r="I117"/>
  <c r="K117" s="1"/>
  <c r="L117" s="1"/>
  <c r="I116"/>
  <c r="K116" s="1"/>
  <c r="L116" s="1"/>
  <c r="K115"/>
  <c r="L115" s="1"/>
  <c r="G114"/>
  <c r="G113"/>
  <c r="I112"/>
  <c r="K112" s="1"/>
  <c r="L112" s="1"/>
  <c r="K110"/>
  <c r="L110" s="1"/>
  <c r="G109"/>
  <c r="O108"/>
  <c r="G108"/>
  <c r="G107"/>
  <c r="I106"/>
  <c r="K106" s="1"/>
  <c r="L106" s="1"/>
  <c r="I104"/>
  <c r="O107" s="1"/>
  <c r="I103"/>
  <c r="K103" s="1"/>
  <c r="L103" s="1"/>
  <c r="O102"/>
  <c r="O109" s="1"/>
  <c r="K102"/>
  <c r="L102" s="1"/>
  <c r="I101"/>
  <c r="K101" s="1"/>
  <c r="H101"/>
  <c r="K100"/>
  <c r="L100" s="1"/>
  <c r="K99"/>
  <c r="L99" s="1"/>
  <c r="G98"/>
  <c r="K97"/>
  <c r="H97"/>
  <c r="K96"/>
  <c r="H96"/>
  <c r="L96" s="1"/>
  <c r="K94"/>
  <c r="L94" s="1"/>
  <c r="K93"/>
  <c r="H93"/>
  <c r="K92"/>
  <c r="L92" s="1"/>
  <c r="K91"/>
  <c r="L91" s="1"/>
  <c r="K90"/>
  <c r="L90" s="1"/>
  <c r="K89"/>
  <c r="L89" s="1"/>
  <c r="K88"/>
  <c r="L88" s="1"/>
  <c r="K87"/>
  <c r="L87" s="1"/>
  <c r="K86"/>
  <c r="L86" s="1"/>
  <c r="K85"/>
  <c r="L85" s="1"/>
  <c r="K84"/>
  <c r="L84" s="1"/>
  <c r="K83"/>
  <c r="L83" s="1"/>
  <c r="K82"/>
  <c r="L82" s="1"/>
  <c r="K81"/>
  <c r="L81" s="1"/>
  <c r="K80"/>
  <c r="L80" s="1"/>
  <c r="K79"/>
  <c r="L79" s="1"/>
  <c r="K78"/>
  <c r="L78" s="1"/>
  <c r="K77"/>
  <c r="L77" s="1"/>
  <c r="K76"/>
  <c r="L76" s="1"/>
  <c r="K75"/>
  <c r="L75" s="1"/>
  <c r="K74"/>
  <c r="H74"/>
  <c r="K73"/>
  <c r="H73"/>
  <c r="L73" s="1"/>
  <c r="K72"/>
  <c r="L72" s="1"/>
  <c r="K71"/>
  <c r="L71" s="1"/>
  <c r="K70"/>
  <c r="H70"/>
  <c r="L70" s="1"/>
  <c r="K69"/>
  <c r="L69" s="1"/>
  <c r="K68"/>
  <c r="L68" s="1"/>
  <c r="K67"/>
  <c r="L67" s="1"/>
  <c r="K66"/>
  <c r="H66"/>
  <c r="K65"/>
  <c r="L65" s="1"/>
  <c r="K64"/>
  <c r="L64" s="1"/>
  <c r="K63"/>
  <c r="L63" s="1"/>
  <c r="K62"/>
  <c r="L62" s="1"/>
  <c r="K61"/>
  <c r="L61" s="1"/>
  <c r="K60"/>
  <c r="L60" s="1"/>
  <c r="K59"/>
  <c r="L59" s="1"/>
  <c r="K58"/>
  <c r="L58" s="1"/>
  <c r="K57"/>
  <c r="L57" s="1"/>
  <c r="K56"/>
  <c r="L56" s="1"/>
  <c r="I54"/>
  <c r="K54" s="1"/>
  <c r="H54"/>
  <c r="G54"/>
  <c r="G56" s="1"/>
  <c r="K53"/>
  <c r="L53" s="1"/>
  <c r="K52"/>
  <c r="L52" s="1"/>
  <c r="K51"/>
  <c r="L51" s="1"/>
  <c r="K50"/>
  <c r="L50" s="1"/>
  <c r="K49"/>
  <c r="L49" s="1"/>
  <c r="K48"/>
  <c r="L48" s="1"/>
  <c r="K47"/>
  <c r="H47"/>
  <c r="I46"/>
  <c r="N46" s="1"/>
  <c r="I45"/>
  <c r="K45" s="1"/>
  <c r="H45"/>
  <c r="L45" s="1"/>
  <c r="K43"/>
  <c r="L43" s="1"/>
  <c r="I42"/>
  <c r="K42" s="1"/>
  <c r="K41"/>
  <c r="L41" s="1"/>
  <c r="K40"/>
  <c r="L40" s="1"/>
  <c r="K39"/>
  <c r="H39"/>
  <c r="G39"/>
  <c r="G31"/>
  <c r="K30"/>
  <c r="H30"/>
  <c r="L30" s="1"/>
  <c r="G30"/>
  <c r="I22"/>
  <c r="K22" s="1"/>
  <c r="L22" s="1"/>
  <c r="G21"/>
  <c r="I20"/>
  <c r="K20" s="1"/>
  <c r="L20" s="1"/>
  <c r="G19"/>
  <c r="I16"/>
  <c r="K16" s="1"/>
  <c r="L16" s="1"/>
  <c r="G15"/>
  <c r="G14"/>
  <c r="G13"/>
  <c r="K12"/>
  <c r="L12" s="1"/>
  <c r="I12"/>
  <c r="I11"/>
  <c r="K11" s="1"/>
  <c r="L11" s="1"/>
  <c r="H10"/>
  <c r="K9"/>
  <c r="L9" s="1"/>
  <c r="K8"/>
  <c r="L8" s="1"/>
  <c r="K7"/>
  <c r="L7" s="1"/>
  <c r="G6"/>
  <c r="O91" i="6"/>
  <c r="P91" s="1"/>
  <c r="O240"/>
  <c r="P240" s="1"/>
  <c r="O239"/>
  <c r="P239" s="1"/>
  <c r="O238"/>
  <c r="P238" s="1"/>
  <c r="O237"/>
  <c r="P237" s="1"/>
  <c r="O236"/>
  <c r="P236" s="1"/>
  <c r="O235"/>
  <c r="P235" s="1"/>
  <c r="O234"/>
  <c r="P234" s="1"/>
  <c r="O233"/>
  <c r="P233" s="1"/>
  <c r="O232"/>
  <c r="P232" s="1"/>
  <c r="O231"/>
  <c r="P231" s="1"/>
  <c r="O230"/>
  <c r="P230" s="1"/>
  <c r="O229"/>
  <c r="P229" s="1"/>
  <c r="O228"/>
  <c r="P228" s="1"/>
  <c r="O227"/>
  <c r="P227" s="1"/>
  <c r="O226"/>
  <c r="P226" s="1"/>
  <c r="O225"/>
  <c r="P225" s="1"/>
  <c r="O224"/>
  <c r="P224" s="1"/>
  <c r="O219"/>
  <c r="P219" s="1"/>
  <c r="O218"/>
  <c r="P218" s="1"/>
  <c r="O217"/>
  <c r="P217" s="1"/>
  <c r="O216"/>
  <c r="P216" s="1"/>
  <c r="O215"/>
  <c r="P215" s="1"/>
  <c r="O214"/>
  <c r="P214" s="1"/>
  <c r="N209"/>
  <c r="O209" s="1"/>
  <c r="P209" s="1"/>
  <c r="O208"/>
  <c r="P208" s="1"/>
  <c r="O206"/>
  <c r="P206" s="1"/>
  <c r="O205"/>
  <c r="P205" s="1"/>
  <c r="O204"/>
  <c r="P204" s="1"/>
  <c r="L145"/>
  <c r="O199"/>
  <c r="P199" s="1"/>
  <c r="O198"/>
  <c r="P198" s="1"/>
  <c r="O196"/>
  <c r="P196" s="1"/>
  <c r="O195"/>
  <c r="P195" s="1"/>
  <c r="O193"/>
  <c r="P193" s="1"/>
  <c r="O191"/>
  <c r="P191" s="1"/>
  <c r="O190"/>
  <c r="P190" s="1"/>
  <c r="O185"/>
  <c r="P185" s="1"/>
  <c r="O184"/>
  <c r="P184" s="1"/>
  <c r="O183"/>
  <c r="P183" s="1"/>
  <c r="O181"/>
  <c r="P181" s="1"/>
  <c r="O180"/>
  <c r="P180" s="1"/>
  <c r="O178"/>
  <c r="P178" s="1"/>
  <c r="O168"/>
  <c r="P168" s="1"/>
  <c r="O152"/>
  <c r="P152" s="1"/>
  <c r="O151"/>
  <c r="P151" s="1"/>
  <c r="O150"/>
  <c r="P150" s="1"/>
  <c r="O149"/>
  <c r="P149" s="1"/>
  <c r="O148"/>
  <c r="P148" s="1"/>
  <c r="O147"/>
  <c r="P147" s="1"/>
  <c r="N146"/>
  <c r="M140"/>
  <c r="M138"/>
  <c r="M135"/>
  <c r="M129"/>
  <c r="O126"/>
  <c r="P126" s="1"/>
  <c r="O123"/>
  <c r="O122"/>
  <c r="M121"/>
  <c r="L121"/>
  <c r="K121"/>
  <c r="O119"/>
  <c r="P119" s="1"/>
  <c r="O117"/>
  <c r="P117" s="1"/>
  <c r="O115"/>
  <c r="P115" s="1"/>
  <c r="O113"/>
  <c r="P113" s="1"/>
  <c r="O108"/>
  <c r="P108" s="1"/>
  <c r="O97"/>
  <c r="P97" s="1"/>
  <c r="O92"/>
  <c r="P92" s="1"/>
  <c r="N75"/>
  <c r="M75"/>
  <c r="O51"/>
  <c r="K75"/>
  <c r="O80"/>
  <c r="P80" s="1"/>
  <c r="O78"/>
  <c r="P78" s="1"/>
  <c r="L61"/>
  <c r="K61"/>
  <c r="L60"/>
  <c r="K60"/>
  <c r="L59"/>
  <c r="K59"/>
  <c r="O57"/>
  <c r="P57" s="1"/>
  <c r="O207"/>
  <c r="P207" s="1"/>
  <c r="N203"/>
  <c r="O203" s="1"/>
  <c r="P203" s="1"/>
  <c r="O202"/>
  <c r="P202" s="1"/>
  <c r="O201"/>
  <c r="P201" s="1"/>
  <c r="O221"/>
  <c r="P221" s="1"/>
  <c r="O222"/>
  <c r="P222" s="1"/>
  <c r="O192"/>
  <c r="P192" s="1"/>
  <c r="O194"/>
  <c r="P194" s="1"/>
  <c r="O189"/>
  <c r="P189" s="1"/>
  <c r="O179"/>
  <c r="P179" s="1"/>
  <c r="O182"/>
  <c r="P182" s="1"/>
  <c r="O177"/>
  <c r="P177" s="1"/>
  <c r="O188"/>
  <c r="P188" s="1"/>
  <c r="O220"/>
  <c r="P220" s="1"/>
  <c r="O187"/>
  <c r="P187" s="1"/>
  <c r="O186"/>
  <c r="P186" s="1"/>
  <c r="O176"/>
  <c r="P176" s="1"/>
  <c r="O175"/>
  <c r="P175" s="1"/>
  <c r="O174"/>
  <c r="P174" s="1"/>
  <c r="O197"/>
  <c r="P197" s="1"/>
  <c r="O173"/>
  <c r="P173" s="1"/>
  <c r="O172"/>
  <c r="P172" s="1"/>
  <c r="O171"/>
  <c r="P171" s="1"/>
  <c r="O170"/>
  <c r="P170" s="1"/>
  <c r="O169"/>
  <c r="P169" s="1"/>
  <c r="O167"/>
  <c r="P167" s="1"/>
  <c r="N166"/>
  <c r="O165"/>
  <c r="P165" s="1"/>
  <c r="O164"/>
  <c r="P164" s="1"/>
  <c r="O163"/>
  <c r="P163" s="1"/>
  <c r="O162"/>
  <c r="P162" s="1"/>
  <c r="O161"/>
  <c r="P161" s="1"/>
  <c r="O160"/>
  <c r="P160" s="1"/>
  <c r="O159"/>
  <c r="P159" s="1"/>
  <c r="O158"/>
  <c r="P158" s="1"/>
  <c r="O157"/>
  <c r="P157" s="1"/>
  <c r="O156"/>
  <c r="P156" s="1"/>
  <c r="O155"/>
  <c r="P155" s="1"/>
  <c r="O140"/>
  <c r="P140" s="1"/>
  <c r="O139"/>
  <c r="P139" s="1"/>
  <c r="O138"/>
  <c r="P138" s="1"/>
  <c r="O127"/>
  <c r="P127" s="1"/>
  <c r="L125"/>
  <c r="O125" s="1"/>
  <c r="K125"/>
  <c r="K124" s="1"/>
  <c r="O120"/>
  <c r="O112"/>
  <c r="P112" s="1"/>
  <c r="O111"/>
  <c r="P111" s="1"/>
  <c r="O110"/>
  <c r="P110" s="1"/>
  <c r="O109"/>
  <c r="P109" s="1"/>
  <c r="O114"/>
  <c r="P114" s="1"/>
  <c r="O107"/>
  <c r="P107" s="1"/>
  <c r="O106"/>
  <c r="P106" s="1"/>
  <c r="O105"/>
  <c r="P105" s="1"/>
  <c r="O118"/>
  <c r="P118" s="1"/>
  <c r="O103"/>
  <c r="P103" s="1"/>
  <c r="O116"/>
  <c r="P116" s="1"/>
  <c r="O102"/>
  <c r="P102" s="1"/>
  <c r="O101"/>
  <c r="P101" s="1"/>
  <c r="O100"/>
  <c r="P100" s="1"/>
  <c r="O99"/>
  <c r="P99" s="1"/>
  <c r="O98"/>
  <c r="P98" s="1"/>
  <c r="O96"/>
  <c r="P96" s="1"/>
  <c r="O95"/>
  <c r="P95" s="1"/>
  <c r="O94"/>
  <c r="K94"/>
  <c r="O93"/>
  <c r="P93" s="1"/>
  <c r="O79"/>
  <c r="P79" s="1"/>
  <c r="O77"/>
  <c r="P77" s="1"/>
  <c r="O76"/>
  <c r="P76" s="1"/>
  <c r="L74"/>
  <c r="K74"/>
  <c r="L73"/>
  <c r="K73"/>
  <c r="L72"/>
  <c r="K72"/>
  <c r="O70"/>
  <c r="P70" s="1"/>
  <c r="L66"/>
  <c r="K66"/>
  <c r="L65"/>
  <c r="K65"/>
  <c r="L64"/>
  <c r="K64"/>
  <c r="O62"/>
  <c r="P62" s="1"/>
  <c r="L56"/>
  <c r="K56"/>
  <c r="L55"/>
  <c r="K55"/>
  <c r="L54"/>
  <c r="K54"/>
  <c r="O52"/>
  <c r="P52" s="1"/>
  <c r="O12"/>
  <c r="P12" s="1"/>
  <c r="L11"/>
  <c r="L10"/>
  <c r="K10"/>
  <c r="L9"/>
  <c r="K9"/>
  <c r="Q5"/>
  <c r="H31" i="5"/>
  <c r="G31"/>
  <c r="O30"/>
  <c r="O31" s="1"/>
  <c r="E40" s="1"/>
  <c r="N30"/>
  <c r="N31" s="1"/>
  <c r="E37" s="1"/>
  <c r="M30"/>
  <c r="M31" s="1"/>
  <c r="E38" s="1"/>
  <c r="L30"/>
  <c r="L31" s="1"/>
  <c r="E39" s="1"/>
  <c r="K30"/>
  <c r="K31" s="1"/>
  <c r="E35" s="1"/>
  <c r="J30"/>
  <c r="J31" s="1"/>
  <c r="E34" s="1"/>
  <c r="C30"/>
  <c r="D29"/>
  <c r="F28"/>
  <c r="E28"/>
  <c r="I28" s="1"/>
  <c r="D28"/>
  <c r="E27"/>
  <c r="I27" s="1"/>
  <c r="D27"/>
  <c r="E25"/>
  <c r="I25" s="1"/>
  <c r="D25"/>
  <c r="E23"/>
  <c r="I23" s="1"/>
  <c r="D23"/>
  <c r="F21"/>
  <c r="I21" s="1"/>
  <c r="D21"/>
  <c r="I20"/>
  <c r="D20"/>
  <c r="F18"/>
  <c r="E18"/>
  <c r="D18"/>
  <c r="F17"/>
  <c r="E17"/>
  <c r="I17" s="1"/>
  <c r="D17"/>
  <c r="F16"/>
  <c r="F15" s="1"/>
  <c r="E16"/>
  <c r="D16"/>
  <c r="D15" s="1"/>
  <c r="F14"/>
  <c r="E14"/>
  <c r="D14"/>
  <c r="F13"/>
  <c r="E13"/>
  <c r="I13" s="1"/>
  <c r="D13"/>
  <c r="F12"/>
  <c r="E12"/>
  <c r="D12"/>
  <c r="F11"/>
  <c r="E11"/>
  <c r="I11" s="1"/>
  <c r="D11"/>
  <c r="F10"/>
  <c r="E10"/>
  <c r="D10"/>
  <c r="F9"/>
  <c r="E9"/>
  <c r="I9" s="1"/>
  <c r="D9"/>
  <c r="E15" l="1"/>
  <c r="O166" i="6"/>
  <c r="N154"/>
  <c r="O154" s="1"/>
  <c r="P154" s="1"/>
  <c r="K51"/>
  <c r="K6" s="1"/>
  <c r="O24"/>
  <c r="L23"/>
  <c r="D30" i="5"/>
  <c r="F30"/>
  <c r="I10"/>
  <c r="I12"/>
  <c r="I14"/>
  <c r="I16"/>
  <c r="I18"/>
  <c r="I15"/>
  <c r="P18"/>
  <c r="P82" i="6"/>
  <c r="L74" i="1"/>
  <c r="L124" i="6"/>
  <c r="O124" s="1"/>
  <c r="O75"/>
  <c r="O23"/>
  <c r="N153"/>
  <c r="N199" i="1"/>
  <c r="L54"/>
  <c r="H42"/>
  <c r="H6" s="1"/>
  <c r="H5" s="1"/>
  <c r="G65"/>
  <c r="G66" s="1"/>
  <c r="L97"/>
  <c r="L101"/>
  <c r="K123"/>
  <c r="L123" s="1"/>
  <c r="I122"/>
  <c r="L93"/>
  <c r="L39"/>
  <c r="L66"/>
  <c r="N201"/>
  <c r="J131"/>
  <c r="J130" s="1"/>
  <c r="J122" s="1"/>
  <c r="K122" s="1"/>
  <c r="L122" s="1"/>
  <c r="K164"/>
  <c r="L164" s="1"/>
  <c r="L42"/>
  <c r="L47"/>
  <c r="I10"/>
  <c r="K46"/>
  <c r="L46" s="1"/>
  <c r="K104"/>
  <c r="L104" s="1"/>
  <c r="J211"/>
  <c r="K211" s="1"/>
  <c r="L211" s="1"/>
  <c r="M128" i="6"/>
  <c r="O128" s="1"/>
  <c r="P128" s="1"/>
  <c r="O121"/>
  <c r="O146"/>
  <c r="P121"/>
  <c r="P94"/>
  <c r="P124"/>
  <c r="P125"/>
  <c r="P75"/>
  <c r="P120"/>
  <c r="R5"/>
  <c r="P166"/>
  <c r="E30" i="5"/>
  <c r="P51" i="6" l="1"/>
  <c r="O153"/>
  <c r="P153" s="1"/>
  <c r="N145"/>
  <c r="N220" i="1"/>
  <c r="K130"/>
  <c r="L130" s="1"/>
  <c r="K10"/>
  <c r="L10" s="1"/>
  <c r="I6"/>
  <c r="J197"/>
  <c r="K197" s="1"/>
  <c r="L197" s="1"/>
  <c r="K131"/>
  <c r="L131" s="1"/>
  <c r="P146" i="6"/>
  <c r="O145"/>
  <c r="K145"/>
  <c r="F31" i="5"/>
  <c r="G32"/>
  <c r="E31"/>
  <c r="K6" i="1" l="1"/>
  <c r="L6" s="1"/>
  <c r="I5"/>
  <c r="J5"/>
  <c r="P145" i="6"/>
  <c r="N12" i="1" l="1"/>
  <c r="K5"/>
  <c r="L5" s="1"/>
  <c r="L22" i="6"/>
  <c r="O22" s="1"/>
  <c r="P22" s="1"/>
  <c r="L6" l="1"/>
  <c r="O6" s="1"/>
  <c r="P6" s="1"/>
  <c r="P5" s="1"/>
  <c r="V5" s="1"/>
</calcChain>
</file>

<file path=xl/sharedStrings.xml><?xml version="1.0" encoding="utf-8"?>
<sst xmlns="http://schemas.openxmlformats.org/spreadsheetml/2006/main" count="2237" uniqueCount="1051">
  <si>
    <t xml:space="preserve">ลำดับที่ </t>
  </si>
  <si>
    <t>หน่วยงานที่รับผิดชอบโครงการ/กิจกรรม</t>
  </si>
  <si>
    <t>กิจกรรม/โครงการ</t>
  </si>
  <si>
    <t>วัตถุประสงค์</t>
  </si>
  <si>
    <t>ดัชนีวัดความสำเร็จ</t>
  </si>
  <si>
    <t>ค่าเป้าหมาย</t>
  </si>
  <si>
    <t>รวมร่างงบประมาณ</t>
  </si>
  <si>
    <t>งบประมาณแผ่นดิน</t>
  </si>
  <si>
    <t>เงินรายได้มหาวิทยาลัย</t>
  </si>
  <si>
    <t>ผลรวมทั้งหมด</t>
  </si>
  <si>
    <t>เงินรายได้</t>
  </si>
  <si>
    <t>เงินกองทุนส่งเสริมการผลิตบัณฑิต</t>
  </si>
  <si>
    <t>เงินรายได้มหาวิทยาลัย ผลรวม</t>
  </si>
  <si>
    <t>รวมทั้งสิ้น</t>
  </si>
  <si>
    <t>งานวิชาการ</t>
  </si>
  <si>
    <t xml:space="preserve">โครงการผลิตบัณฑิตระดับปริญญาตรี </t>
  </si>
  <si>
    <t>สำนักงานเลขานุการ</t>
  </si>
  <si>
    <t xml:space="preserve"> - หมวดเงินเดือนและค่าจ้างประจำ</t>
  </si>
  <si>
    <t xml:space="preserve"> </t>
  </si>
  <si>
    <t xml:space="preserve"> - หมวดค่าจ้างชั่วคราว</t>
  </si>
  <si>
    <t xml:space="preserve"> - ค่าสาธารณูปโภค</t>
  </si>
  <si>
    <t xml:space="preserve"> - หมวดครุภัณฑ์</t>
  </si>
  <si>
    <t>งานคอมพิวเตอร์และสารสนเทศ</t>
  </si>
  <si>
    <t>งานปฏิบัติการ</t>
  </si>
  <si>
    <t>เพื่อจัดซื้อครุภัณฑ์ที่จำเป็นต่อการเพิ่มศักยภาพการเรียนการสอน การบริการวิชาการ และการวิจัยของคณะเภสัชศาสตร์ให้เป็นไปอย่างมีประสิทธิภาพ</t>
  </si>
  <si>
    <t>จำนวนครุภัณฑ์ที่จัดซื้อ</t>
  </si>
  <si>
    <t>อย่างน้อย 5 รายการ</t>
  </si>
  <si>
    <t xml:space="preserve"> - หมวดเงินอุดหนุน</t>
  </si>
  <si>
    <t xml:space="preserve"> - หมวดค่าตอบแทน ใช้สอยและวัสดุ</t>
  </si>
  <si>
    <t>1) ค่าตอบแทน</t>
  </si>
  <si>
    <t>2) ค่าตอบแทนกำลังคนสาธารณสุข (พตส.)</t>
  </si>
  <si>
    <t>3) ค่าวัสดุ</t>
  </si>
  <si>
    <t>4) ค่าใช้สอย (ส่วนกลาง)</t>
  </si>
  <si>
    <t>เพื่อส่งเสริมอาจารย์ให้ได้รับพัฒนาศักยภาพด้านเภสัชศาสตร์ศึกษา</t>
  </si>
  <si>
    <t>ร้อยละอาจารย์ที่ได้รับการพัฒนาศักยภาพด้านเภสัชศาสตร์ศึกษา</t>
  </si>
  <si>
    <t>ร้อยละ 80</t>
  </si>
  <si>
    <t>งานประกันคุณภาพและสารสนเทศ</t>
  </si>
  <si>
    <t xml:space="preserve">1. พัฒนาบุคลากรให้สามารถใช้ระบบ
สารสนเทศของคณะได้อย่างมีประสิทธิภาพ 
2.  พัฒนาบุคลากรให้สามารถใช้โปรแกรม
สำเร็จรูปได้อย่างมีประสิทธิภาพ        
3.  พัฒนาบุคลากรให้สามารถดูแลรักษา
เครื่องคอมพิวเตอร์เบื้องต้นได้ </t>
  </si>
  <si>
    <t>มีบุคลากรเข้าร่วมกิจกรรม</t>
  </si>
  <si>
    <t>ไม่น้อยกว่าร้อยละ 80 (รวมทุกกิจกรรม, ไม่นับซ้ำ)</t>
  </si>
  <si>
    <t>1. เพื่อให้คณาจารย์มีความรู้ความเข้าใจที่ถูกต้องเกี่ยวกับการดำเนินการเรียนการสอนในหลักสูตรตามกรอบมาตรฐานคุณวุฒิระดับอุดมศึกษาแห่งชาติ
2. เพื่อให้คณาจารย์มีความรู้ความเข้าใจที่ถูกต้องในการจัดทำเอกสาร มคอ. ต่างๆ 
3. เพื่อให้คณาจารย์มีความรู้ความเข้าใจที่ถูกต้องในกระบวนการจัดการเรียนการสอน
4. เพื่อให้คณาจารย์มีทักษะการสอน การจัดทำสื่อการสอน และการวัดและประเมินผลที่ถูกต้องเหมาะสม</t>
  </si>
  <si>
    <t>1. คณะมีการจัดทำเอกสาร มคอ. ต่างๆ ตามกรอบมาตรฐานคุณวุฒิระดับอุดมศึกษาแห่งชาติครบถ้วนทุกหลักสูตร</t>
  </si>
  <si>
    <t>ครบถ้วนทุกหลักสูตร</t>
  </si>
  <si>
    <t xml:space="preserve">งานวิชาการ </t>
  </si>
  <si>
    <t>จำนวนรายวิชา</t>
  </si>
  <si>
    <t>อย่างน้อย 1รายวิชา</t>
  </si>
  <si>
    <t>งานบริหาร</t>
  </si>
  <si>
    <t>งานกิจการนักศึกษา</t>
  </si>
  <si>
    <t>โครงการพัฒนาคุณภาพนักศึกษา</t>
  </si>
  <si>
    <t>2.1 โครงการพัฒนาแกนนำนักศึกษา</t>
  </si>
  <si>
    <t>2.2 โครงการสัปดาห์เภสัชกรรม</t>
  </si>
  <si>
    <t>2.4 โครงการไหว้ครู</t>
  </si>
  <si>
    <t>2.5 โครงการปฐมนิเทศและเตรียมความพร้อมสำหรับ
     นักศึกษาใหม่</t>
  </si>
  <si>
    <t>2.6 โครงการพัฒนาระบบอาจารย์ที่ปรึกษา</t>
  </si>
  <si>
    <t>2.7 โครงการทำบุญวันสถาปนาคณะเภสัชศาสตร์</t>
  </si>
  <si>
    <t>2.8 โครงการสนับสนุนทุนการศึกษาแก่นักศึกษา</t>
  </si>
  <si>
    <t>2.9 โครงการรณรงค์วินัยและการแต่งกายนักศึกษา</t>
  </si>
  <si>
    <t>งานฝึกปฏิบัติงานวิชาชีพ</t>
  </si>
  <si>
    <t>โครงการฝึกปฏิบัติงานวิชาชีพ</t>
  </si>
  <si>
    <t>กลุ่มวิชาเภสัชเคมีและเทคโนโลยีเภสัชกรรม</t>
  </si>
  <si>
    <t>1. เพื่อเพิ่มพูนความรู้ ความเข้าใจ แก่อาจารย์ในงานด้านเภสัชกรรม อันจะก่อให้เกิดประโยชน์ในการพัฒนาการเรียนการสอนด้านเภสัชกรรม  และการฝึกปฏิบัติงานวิชาชีพเภสัชกรรม
2. เพื่อประเมินศักยภาพของโรงงาน/หน่วยงานในการเป็นแหล่งฝึกปฏิบัติงานวิชาชีพด้านวิทยาการเภสัชกรรม</t>
  </si>
  <si>
    <t xml:space="preserve">1.  มีผู้เข้าร่วมร้อยละ 80 
2.  ผู้เข้าร่วมโครงการพึงพอใจไม่น้อยกว่า 4.00 
</t>
  </si>
  <si>
    <t xml:space="preserve">1.  ร้อยละ 80 
2.  ไม่น้อยกว่า 4.00 คะแนน
</t>
  </si>
  <si>
    <t>กลุ่มวิชาเภสัชกรรมปฏิบัติ</t>
  </si>
  <si>
    <t xml:space="preserve">  </t>
  </si>
  <si>
    <t>กลุ่มวิชาชีวเภสัชศาสตร์</t>
  </si>
  <si>
    <t>1.เพื่อพัฒนาแนวคิดของนักศึกษาคณะเภสัชศาสตร์ชั้นปีที่ 2 ให้เข้าใจถึงความสำคัญ และตระหนักถึงความสำคัญของบทบาทรายวิชาชีวเภสัชศาสตร์ที่มีความเกี่ยวข้องกับวิชาชีพเภสัชกรรมในอนาคต
2. เพื่อพัฒนาให้นักศึกษามีวิธีการคิดแบบบูรณาการความรู้จากหลายวิชาในการแก้ปัญหาสุขภาพ
1.3 เพื่อพัฒนาและเตรียมความพร้อมให้นักศึกษาตระหนักถึงความสำคัญทางด้านคุณธรรม จริยธรรมและวินัยนักศึกษา อันจักนำไปสู่คุณสมบัติของบัณฑิตที่พึงประสงค์</t>
  </si>
  <si>
    <t>1 จำนวนนักศึกษาชั้นปีที่ 2 ที่เข้าร่วมโครงการ มีจำนวนไม่น้อยกว่าร้อยละ 80 
2 นักศึกษาที่เข้าร่วมโครงการ ไม่น้อยกว่าร้อยละ 80 มีความเข้าใจบทบาทของรายวิชาชีวเภสัชศาสตร์และความเกี่ยวข้องกับวิชาชีพในอนาคตมากขึ้น
3 นักศึกษาที่เข้าร่วมโครงการไม่น้อยกว่าร้อยละ 80 ตระหนักถึงความสำคัญทางด้านคุณธรรม จริยธรรมและวินัยนักศึกษา อันจักนำไปสู่คุณสมบัติของบัณฑิตที่พึงประสงค์
4 นักศึกษาที่เข้าร่วมโครงการมีความพึงพอใจในกิจกรรมไม่น้อยกว่า 3.5 จากคะแนนเต็ม 5</t>
  </si>
  <si>
    <t>1 ไม่น้อยกว่าร้อยละ 80 
2 ไม่น้อยกว่าร้อยละ 80  
3  ไม่น้อยกว่าร้อยละ 80  
4 ไม่น้อยกว่า 3.5 จากคะแนนเต็ม 5</t>
  </si>
  <si>
    <t xml:space="preserve">1. เพื่อจัดหาวัสดุ ตำรา  วารสารทางวิชาการให้เพียงพอต่อความต้องการ และครบถ้วนตามรายวิชาในหลักสูตร
2. เพื่อจัดหาเอกสารอ้างอิงทางเภสัชศาสตร์ให้เป็นปัจจุบันและเพียงพอต่อความต้องการ </t>
  </si>
  <si>
    <t>1. จำนวนวัสดุ ตำรา วารสารทางวิชาการและโสตทัศนูปกรณ์ ที่เพิ่มขึ้น 
2. ระดับความพึงพอใจของผู้ใช้บริการห้องเอกสารอ้างอิงฯ (คะแนนเต็ม 5)</t>
  </si>
  <si>
    <t xml:space="preserve">1. จำนวนวัสดุ ตำรา หนังสือเพิ่มขึ้น
1. ระดับความพึงพอใจของผู้ใช้บริการ ไม่น้อยกว่า 3.51 </t>
  </si>
  <si>
    <t>1. นักศึกษามีความรู้ความเข้าใจเกี่ยวกับลักษณะทางพฤกษศาสตร์ของพืชสมุนไพร
2. นักศึกษามีความสามัคคีภายในชั้นปี
3. นักศึกษามีทัศนคติที่ดีต่อการอนุรักษ์ธรรมชาติ และภูมิปัญญาท้องถิ่น</t>
  </si>
  <si>
    <t xml:space="preserve">1.  มีผู้เข้าร่วมร้อยละ 90 
2.  ผู้เข้าร่วมโครงการพึงพอใจไม่น้อยกว่า 4.00 
</t>
  </si>
  <si>
    <t xml:space="preserve">1. ร้อยละ 90 
2.  ไม่น้อยกว่า 4.00 คะแนน
</t>
  </si>
  <si>
    <t xml:space="preserve">โครงการพัฒนาศักยภาพบุคลากร
</t>
  </si>
  <si>
    <t xml:space="preserve"> - โครงการส่งเสริมและพัฒนาศักยภาพอาจารย์และบุคลากร  </t>
  </si>
  <si>
    <t>2. ค่าวัสดุงานบ้านงานครัว</t>
  </si>
  <si>
    <t>งานบัณฑิตศึกษา</t>
  </si>
  <si>
    <t xml:space="preserve"> - หมวดเงินเดือน</t>
  </si>
  <si>
    <t xml:space="preserve"> - หมวดค่าสาธารณูปโภค</t>
  </si>
  <si>
    <t xml:space="preserve"> - หมวดเงินอุดหนุนโครงการ</t>
  </si>
  <si>
    <t>1. เพื่อพัฒนาให้เกิดหลักสูตรระดับปริญญาตรีในสาขาที่ตรงตามความต้องการของผู้เรียนและผู้ใช้บัณฑิต 
2. เพื่อพัฒนาให้เกิดหลักสูตรระดับบัณฑิตศึกษาในสาขาที่ตรงตามความต้องการของผู้เรียนและผู้ใช้บัณฑิต 
3. เพื่อพัฒนาให้เกิดหลักสูตรการฝึกอบรมระยะสั้นในด้านต่างๆ ที่เป็นประโยชน์และเพิ่มทักษะแก่เภสัชกรและผู้สนใจ
4. เพื่อตอบสนองต่อความต้องการของผู้เรียนและเปิดโอกาสให้ผู้เรียนได้เลือกเรียนในสาขาที่เกี่ยวกับสายงานหรือสร้างความก้าวหน้าตามสายการปฏิบัติงาน
5. เพื่อขยายโอกาสด้านการศึกษาและพัฒนาศักยภาพของประชาชนในภูมิภาคในด้านการค้นคว้า วิจัยและพัฒนา</t>
  </si>
  <si>
    <t>จำนวนหลักสูตรใหม่ระดับปริญญาตรี บัณฑิต หรือการฝึกอบรมระยะสั้น</t>
  </si>
  <si>
    <t>จำนวนอย่างน้อย 1 หลักสูตร</t>
  </si>
  <si>
    <t>6.2 โครงการสานสัมพันธ์หลักสูตรวิทยาศาสตร
      มหาบัณฑิต สาขาวิชาการบริหารบริการสุขภาพ</t>
  </si>
  <si>
    <t xml:space="preserve">1. เพื่อให้นักศึกษาชั้นปีที่ 2 นำเสนอนำเสนอความก้าวหน้า ปัญหาและอุปสรรคของงานวิจัย
2. เพื่อเป็นการพบปะ แลกเปลี่ยนความรู้ ความคิดเห็นด้านวิชาการ สานสัมพันธ์ระหว่าง นักศึกษา คณาจารย์ผู้สอน และคณะกรรมการบริหารหลักสูตร   
3. เพื่อร่วมรับฟังความคิดเห็นของนักศึกษา เพื่อนำไปสู่แนวทางการพัฒนาและปรับปรุงหลักสูตร ให้เกิดประสิทธิผลสูงสุดกับนักศึกษา
</t>
  </si>
  <si>
    <t>1. จำนวนนักศึกษาชชั้นปีที่ 2 หลักสูตรวิทยาศาสตรมหาบัณฑิต สาขาวิชาการบริหารบริการสุขภาพที่เข้าร่วมโครงการ</t>
  </si>
  <si>
    <t xml:space="preserve">1. ไม่น้อยกว่า ร้อยละ 80 ของกลุ่มเป้าหมาย
</t>
  </si>
  <si>
    <t>6.3  โครงการพัฒนาทักษะด้านการเขียนบทความวิชาการ
      แก่นักศึกษาระดับบัณฑิตศึกษา</t>
  </si>
  <si>
    <t>1. เพื่อให้นักศึกษาระดับบัณฑิตศึกษามีความรู้ความเข้าใจเกี่ยวกับหลักการการเขียนบทความทางวิชาการเพื่อตีพิมพ์ในวารสารวิชาการ
2. เพื่อพัฒนาทักษะการเขียนบทความวิชาการและการจัดทำบทนิพนธ์ต้นฉบับของนักศึกษาบัณฑิตศึกษาให้มีคุณภาพตามมาตรฐานสากล</t>
  </si>
  <si>
    <t>1. จำนวนนักศึกษาระดับบัณฑิตศึกษาเข้าร่วมโครงการ</t>
  </si>
  <si>
    <t xml:space="preserve">6.4 โครงการประชาสัมพันธ์หลักสูตร </t>
  </si>
  <si>
    <t>งานการเงิน</t>
  </si>
  <si>
    <t>7.1 โครงการเงินกองทุนส่งเสริมและพัฒนาการผลิตบัณฑิต</t>
  </si>
  <si>
    <t>7.2 โครงการกองทุนเพื่อเพิ่มประสิทธิภาพการเรียนการสอน 
      การวิจัย บริการวิชาการ ทำนุบำรุงศิลปวัฒนธรรม</t>
  </si>
  <si>
    <t xml:space="preserve"> - หมวดเงินอุดหนุน ประกอบด้วย</t>
  </si>
  <si>
    <t>งานบุคคล</t>
  </si>
  <si>
    <t xml:space="preserve">(2) โครงการเชิดชูเกียรติอาจารย์และบุคลากรและงานบริการ
     ดีเด่น </t>
  </si>
  <si>
    <t>(3) โครงการส่งเสริมการเข้าสู่ตำแหน่งทางวิชาการของ
     อาจารย์คณะเภสัชศาสตร์</t>
  </si>
  <si>
    <t>งานแผน</t>
  </si>
  <si>
    <t xml:space="preserve">(4) โครงการติดตามและประเมินผลการดำเนินงานตามแผน  </t>
  </si>
  <si>
    <t xml:space="preserve">(5) โครงการพัฒนาศักยภาพผู้บริหาร  </t>
  </si>
  <si>
    <t xml:space="preserve">(9) โครงการพัฒนาระบบ 5 ส.  </t>
  </si>
  <si>
    <t>งานพัสดุ</t>
  </si>
  <si>
    <t>งานวิจัย</t>
  </si>
  <si>
    <t xml:space="preserve">1. เพื่อดำเนินการออกข้อสอบ จัดการสอบ และประเมินผลการสอบ
2. เพื่อวัดผลสัมฤทธิ์ในการเรียนของนักศึกษาตามหลักสูตรเภสัชศาสตรบัณฑิต </t>
  </si>
  <si>
    <t>จำนวนข้อสอบที่มีความยากง่ายปานกลาง (P=0.2-0.8) ไม่น้อยกว่าร้อยละ 50 และมีระดับความเชื่อมั่นของข้อสอบปานกลางขึ้นไป (KR20 &gt; 0.41)</t>
  </si>
  <si>
    <t>ไม่น้อยกว่าร้อยละ 50</t>
  </si>
  <si>
    <t>เพื่อให้การดำเนินงานตามแผนของคณะกรรมการด้านวิชาการของคณะเภสัชศาสตร์ สำหรับนักศึกษาทั้งระดับปริญญาตรีและระดับบัณฑิตศึกษา เป็นไปอย่างมีประสิทธิผล</t>
  </si>
  <si>
    <t xml:space="preserve">1. จำนวนครั้งการประชุมคณะกรรมการวิชาการ 
2. จำนวนครั้งการประชุมคณะกรรมการบัณฑิตศึกษา 
3. จำนวนครั้งการประชุมคณะกรรมการประจำหลักสูตร แต่ละหลักสูตร
4. จำนวนครั้งการประชุมคณะกรรมการห้องสมุดคณะเภสัชศาสตร์ </t>
  </si>
  <si>
    <t xml:space="preserve">1. อย่างน้อย 4 ครั้งต่อปีการศึกษา
2. อย่างน้อย 2 ครั้งต่อปีการศึกษา
3. อย่างน้อย 2 ครั้งต่อปีการศึกษา
4. อย่างน้อย 2 ครั้งต่อปีการศึกษา 
</t>
  </si>
  <si>
    <t>เพื่อส่งเสริมให้อาจารย์ได้รับการพัฒนาศักยภาพด้าภาษาต่างประเทศเพื่อรองรับการจัดการเรียนการสอนและการเป็นคณะเภสัชศาสตร์ชั้นนำในอาเซียน</t>
  </si>
  <si>
    <t>ร้อยละอาจารย์ที่ได้รับการพัฒนาศักยภาพด้านภาษาต่างประเทศ</t>
  </si>
  <si>
    <t>ร้อยละ 70</t>
  </si>
  <si>
    <t>เพื่อส่งเสริมให้อาจารย์ได้รับการพัฒนาทักษะด้านวิชาชีพแก่เพื่อรองรับการจัดการเรียนการสอนและการเป็นคณะเภสัชศาสตร์ชั้นนำในอาเซียน</t>
  </si>
  <si>
    <t>จำนวนอาจารย์ที่ได้รับการพัฒนาศักยภาพด้านทักษะวิชาชีพ</t>
  </si>
  <si>
    <t>อย่างน้อย 1 คน</t>
  </si>
  <si>
    <t>เพื่อส่งเสริมอาจารย์เป็นแบบอย่างที่ดีด้านคุณธรรม จริยธรรม จรรยาบรรณอาจารย์ จรรยาบรรณวิชาชีพ และจรรยาบรรณนักวิจัย</t>
  </si>
  <si>
    <t>ร้อยละอาจารย์ที่เข้าร่วมโครงการ</t>
  </si>
  <si>
    <t>ร้อยละ 60</t>
  </si>
  <si>
    <t>1.เพื่อให้บุคลกรห้องปฏิบัติการมีการแลกเปลี่ยนความรู้ทักษะที่เป็นประโยชน์ต่อการปฏิบัติงาน   2. มีการแลกเปลี่ยนความคิดเห็นร่วมกันเพื่อให้เกิดการทำงานที่มีการประสานงานกันได้อย่างมีประสิทธิภาพ                     3.เพื่อสร้างเจตคติที่ดีในการทำงาน</t>
  </si>
  <si>
    <t>จำนวนครั้งของของประชุมและแลกเปลี่ยนเรียนรู้</t>
  </si>
  <si>
    <t xml:space="preserve">จำนวน 10 ครั้ง </t>
  </si>
  <si>
    <t>งานบริการวิชาการ ทำนุบำรุงศิลปวัฒนธรรม</t>
  </si>
  <si>
    <t>1. เพื่อให้คณะกรรมการที่เกี่ยวข้องในงานบริการวิชาการ และทำนุบำรุงศิลปวัฒนธรรมต่างๆ มีการแลกเปลี่ยนความคิดเห็นและแลกเปลี่ยนความรู้ทักษะร่วมกัน มีการประสานงานและทำงานร่วมกันได้อย่างมีประสิทธิภาพ  
2.  เพื่อสำรวจความต้องการของชุมชน ภาครัฐ เอกชน หน่วยงานวิชาชีพเพื่อประกอบการกำหนดทิศทางและจัดทำแผนแม่บท ติดตามและประเมินผลประโยชน์/ผลกระทบของการให้บริการต่างๆ
3.  ส่งเสริมและสนับสนุนให้มีการนำองค์ความรู้และประสบการณ์จากการให้บริการวิชาการมาใช้ประโยชน์ในการพัฒนาการเรียนการสอน และการวิจัย</t>
  </si>
  <si>
    <t>1. จำนวนครั้งของของประชุมและแลกเปลี่ยนเรียนรู้
2. ผลการสำรวจความต้องการของชุมชน
3. ร้อยละโครงการที่ดำเนินการบรรลุเป้าหมาย</t>
  </si>
  <si>
    <t>4
มีผลการสำรวจ
ร้อยละ 80</t>
  </si>
  <si>
    <t xml:space="preserve"> 1. ค่าอาหารกลางวันกรรมการ  (อัตรา 50 บาท/คน/ครั้ง x 10 คน/กลุ่มx3กลุ่มx6ครั้ง)</t>
  </si>
  <si>
    <t>เพื่อร่วมจัดกิจกรรมและนิทรรศการในงานเกษตรอีสานใต้</t>
  </si>
  <si>
    <t>ระดับความพึงพอใจ</t>
  </si>
  <si>
    <t>ไม่น้อยกว่า 3.75 คะแนน</t>
  </si>
  <si>
    <t xml:space="preserve"> - ค่าที่พักวิทยากร (อัตรา 1200บาท/คน/คืน x1คนx1คืน)</t>
  </si>
  <si>
    <t xml:space="preserve"> -ค่าอาหารว่างและเครื่องดื่ม (อัตรา 25 บาท/คน/ครั้ง x 50 คน x 2 ครั้ง)</t>
  </si>
  <si>
    <t>ค่าอาหารกลางวัน (อัตรา 50 บาท/คน/ครั้ง x50คนx1ครั้ง)</t>
  </si>
  <si>
    <t xml:space="preserve"> - ค่าตอบแทนวิทยากร (อัตรา 1200 บาท/ชม x 6 ชมx1วัน)</t>
  </si>
  <si>
    <t xml:space="preserve"> - ค่าใช้จ่ายในการเดินทางวิทยากร (อัตรา 6000 บาท/คน x 1 คน)</t>
  </si>
  <si>
    <t xml:space="preserve"> - ค่าวัสดุ 600 บาท</t>
  </si>
  <si>
    <t>(37) โครงการสนับสนุนการทำวิจัยในชั้นเรียนหรือวิจัยเพื่อ
       พัฒนางานหรืองานวิจัยที่ตอบสนองต่อความต้องการของ
       ชุมชน</t>
  </si>
  <si>
    <t xml:space="preserve"> - ทุนสนับสนุนการทำวิจัย 25,000 บาท x 2 ทุน</t>
  </si>
  <si>
    <t>(38)  โครงการพัฒนาระบบบริหารงานวิจัย (ประชุม)</t>
  </si>
  <si>
    <t xml:space="preserve"> 1. ค่าอาหารกลางวันกรรมการวิจัย (อัตรา 50 บาท/คน/ครั้ง x 5 คนx12ครั้ง)</t>
  </si>
  <si>
    <t>2. ค่าอาหารกลางวันกรรมการวิเทศฯ  (อัตรา 50 บาท/คน/ครั้ง x 5 คนx6ครั้ง)</t>
  </si>
  <si>
    <t xml:space="preserve"> - ทุนสนับสนุนการทำวิจัย 25,000 บาท x 4 ทุน</t>
  </si>
  <si>
    <t>(40)  โครงการสนับสนุนการตีพิมพ์เผยแพร่ผลงานวิจัย ผลงาน
        คุณภาพและงานสร้างสรรค์ทั้งในและต่างประเทศ</t>
  </si>
  <si>
    <t>ขอเพิ่ม 100,000 บาท</t>
  </si>
  <si>
    <t xml:space="preserve"> - ทุนสนับสนุนการตีพิมพ์เผยแพร่ผลงาน 100000 บาท</t>
  </si>
  <si>
    <t xml:space="preserve"> - ทุนสนับสนุนการเข้าร่วมนำเสนอผลงานในที่ประชุมวิชาการ 100000 บาท</t>
  </si>
  <si>
    <t>(41) โครงการงานวิจัยที่มีการบูรณาการกับการเรียนการสอน</t>
  </si>
  <si>
    <t>(42) โครงการสนับสนุนการเผยแพร่ชื่อเสียง ภาพลักษณ์ด้าน
       งานวิจัยให้ปรากฏแก่สังคม (รวมโครงการสนับสนุนการ
       เผยแพร่นำเสนอผลงานวิชาการทางเภสัชศาสร์)</t>
  </si>
  <si>
    <t>ข้อเพิ่ม 60,000 บาท</t>
  </si>
  <si>
    <t xml:space="preserve"> - ค่าใช้จ่ายในการผลิตสื่อสิ่งพิมพ์ ออกบูทเพื่อเผยแพร่ผลงานวิจัย จัดประชุมแถลงข่าวผลงานวิจัย</t>
  </si>
  <si>
    <t xml:space="preserve">  -เงินสมทบในการจัดทำวารเภสัชศาสตร์อีสาน จำนวน 60,000 บาท</t>
  </si>
  <si>
    <t>(43) โครงการสนับสนุนงานวิจัยนำไปใช้ประโยชน์</t>
  </si>
  <si>
    <t xml:space="preserve"> - ทุนสนับสนุนการทำวิจัยเพื่อนำไปใช้ประโยชน์ 500 บาท x 20 ทุน</t>
  </si>
  <si>
    <t xml:space="preserve"> - ทุนสมทบการทำวิจัยเพื่อนำไปใช้ประโยชน์ 2,500 บาท x 2 ทุน</t>
  </si>
  <si>
    <t xml:space="preserve"> - ทุนสนับสนุนการทำวิจัยเพื่อรวบรวม วิเคราะห์ และสังเคราะห์ 5,000 บาท x 2 ทุน</t>
  </si>
  <si>
    <t>8.1  โครงการซ่อมแซมครุภัณฑ์</t>
  </si>
  <si>
    <t xml:space="preserve">  - เงินทุนพัฒนาบุคลากร  (อัตรา 120,000 บาท/คน/ปี x 6คน)</t>
  </si>
  <si>
    <t xml:space="preserve"> - ค่าก่อสร้าง</t>
  </si>
  <si>
    <t>เพื่อซ่อมแซมครุภัณฑ์และเครื่องมือวิทยาศาสตร์ ให้อยู่ในสภาพใช้งานได้ สำหรับรองรับการเรียนการสอนในระดับปริญญาตรีและบัณฑิตศึกษา รวมถึงงานวิจัยของคณะ</t>
  </si>
  <si>
    <t>เครื่องมือและครุภัณฑ์ต่างๆ อยู่ในสภาพใช้งาน</t>
  </si>
  <si>
    <t>ร้อยละ 90</t>
  </si>
  <si>
    <t>เพื่อกำจัดของเสียอันตรายที่เกิดจากการทำปฏิบัติการการเรียนการสอน และการวิจัย</t>
  </si>
  <si>
    <t>มีการกำจัดของเสียอันตราย</t>
  </si>
  <si>
    <t>มี</t>
  </si>
  <si>
    <t xml:space="preserve"> - ค่าจ้างเหมากำจัดของเสียอันตราย</t>
  </si>
  <si>
    <t>งานวิจัย/บริหาร</t>
  </si>
  <si>
    <t xml:space="preserve">  - เงินสมทบทุนวิจัย สกว. (อัตรา 60,000 บาท/ทุน/ปี x 2ทุน)</t>
  </si>
  <si>
    <t xml:space="preserve">  - เงินอุดหนุนทั่วไป</t>
  </si>
  <si>
    <t xml:space="preserve">โครงการสนับสนุนการจัดการศึกษาคณะเภสัชศาสตร์  </t>
  </si>
  <si>
    <t xml:space="preserve">  - เงินบริจาคเพื่อสนับสนุนการศึกษา</t>
  </si>
  <si>
    <t>โครงการเงินผลประโยชน์จากการดำเนินงานเพื่อพัฒนางานตามภารกิจหลัก (เงินรายได้จากผลประโยชน์ในการดำเนินงาน)</t>
  </si>
  <si>
    <t xml:space="preserve"> - โครงการเงินผลประโยชน์จากการดำเนินงานเพื่อพัฒนางานตามภารกิจหลัก  </t>
  </si>
  <si>
    <t xml:space="preserve">โครงการเงินกองทุนรายได้จากการชดใช้ทุนของนักศึกษาเภสัชศาสตร์ผู้ผิดสัญญา </t>
  </si>
  <si>
    <t>โครงการสร้างห้องปฏิบัติการปลอดภัย 
(งบประมาณจาก คภ.สสส. 70,000 บาท)</t>
  </si>
  <si>
    <t xml:space="preserve">1. เพื่อพัฒนาระบบบริหารจัดการ  และกลไกการบริหารจัดการห้องปฏิบัติการปลอดภัยขึ้นภายในคณะเภสัชศาสตร์ มหาวิทยาลัยอุบลราชธานี 
2. เพื่อนำระบบบริหารจัดการและกลไกการบริหารจัดการห้องปฏิบัติการปลอดภัยนำไปสู่การปฏิบัติ และขยายผลให้กับคณะอื่นภายในมหาวิทยาลัยอุบลราชธานี ให้เกิดประโยชน์ทั่วทั้งมหาวิทยาลัย
</t>
  </si>
  <si>
    <t>1. จำนวนกิจกรรมการแลกเปลี่ยนเรียนรู้ระหว่างเครือข่าย 
2.จำนวนนักศึกษาสารนิพนธ์และนักวิจัยใหม่ได้รับการอบรม</t>
  </si>
  <si>
    <t>1. จำนวน 2กิจกรรม
2. ร้อยละ 100</t>
  </si>
  <si>
    <t xml:space="preserve">โครงการพัฒนายาและผลิตภัณฑ์สมุนไพร </t>
  </si>
  <si>
    <t>เพื่อพัฒนาหน่วยผลิตยาและผลิตภัณฑ์สมุนไพร ให้สามารถดำเนินงานได้อย่างมีศักยภาพ และพึ่งพาตนเองได้</t>
  </si>
  <si>
    <t>รายได้</t>
  </si>
  <si>
    <t>มากกว่า 150,000</t>
  </si>
  <si>
    <t>มากกว่า 900,000</t>
  </si>
  <si>
    <t>งานบริการวิชาการ</t>
  </si>
  <si>
    <t xml:space="preserve">เพื่อดำเนินงานบริการวิชาการ ให้สอดคล้องกับพันธกิจและยุทธศาสตร์หลักของคณะฯ ที่มุ่งสร้างเสริมสุขภาวะแก่ชุมชน และสร้างความร่วมมือกับภาคีเครือข่ายวิชาชีพเพื่อยกระดับคุณภาพงานเภสัชกรรม </t>
  </si>
  <si>
    <t>1. ระดับความพึงพอใจ 
2. ร้อยละของโครงการที่บรรลุเป้าหมาย
3. จำนวนโครงการ/กิจกรรมที่มีการบูรณาการกับการเรียนการสอนและ/หรือวิจัย</t>
  </si>
  <si>
    <t>3.5
ร้อยละ 80
4</t>
  </si>
  <si>
    <t>1) โครงการบริการวิชาการความรู้ด้านยาและการส่งเสริมสุขภาพแก่ครูประจำโรงเรียนในเขตจังหวัดอุบลราชธานี</t>
  </si>
  <si>
    <t xml:space="preserve">1. เพื่อส่งเสริมและเผยแพร่ความรู้ ความเข้าใจที่ถูกต้องและทันสมัยด้านความรู้ด้านยาและการส่งเสริมสุขภาพแก่ครูประจำโรงเรียนในเขตจังหวัดอุบลราชธานี 2. เพื่อให้ครูสามารถนำความรู้ที่ได้รับไปถ่ายทอดหรือปฏิบัติให้เกิดประโยชในการพัฒนาคุณภาพชีวิตของตนเอง นักเรียน ผู้ปกครองและประชาชนในชุมชนได้
3. เพื่อให้นักศึกษาคณะเภสัชศาสตร์ได้มีส่วนร่วมและสามารถนำความรู้ความรู้ด้านยาและการส่งเสริมสุขภาพมาประยุกต์ใช้และถ่ายทอดออกมาในรูปแบบกิจกรรมส่งเสริมการเรียนรู้ต่างๆ ได้ 
</t>
  </si>
  <si>
    <t>1. จำนวนผู้เข้าร่วมโครงการ
2. ระดับความพึงพอใจ</t>
  </si>
  <si>
    <t>ร้อยละ 100
4</t>
  </si>
  <si>
    <t>กลุ่มวิชาเภสัชเคมีและเทคโนโลยี</t>
  </si>
  <si>
    <t>2) โครงการถ่ายทอดความรู้เพื่อพัฒนาการจัดการความปลอดภัยในห้องปฏิบัติการวิทยาศาสตร์</t>
  </si>
  <si>
    <t xml:space="preserve">1. เพื่อเพิ่มความรู้และประสบการณ์แก่กลุ่มเป้าหมายในการใช้สารเคมีอย่างปลอดภัย
2. เพื่อให้กลุ่มเป้าหมายรู้หลักการจัดการเบื้องต้นเมื่อเกิดภาวะฉุกเฉินขณะทำปฏิบัติการในห้องเรียน
</t>
  </si>
  <si>
    <t>ร้อยละ 100
3.5</t>
  </si>
  <si>
    <t>3) โครงการหมอยาเคลื่อนที่ ครั้งที่ 4 (การให้การบริบาลทางเภสัชกรรมที่โรงพยาบาล)</t>
  </si>
  <si>
    <t xml:space="preserve">1. เพื่อให้บริการทางเภสัชกรรมแก่ผู้ป่วยที่มารับบริการ ณ โรงพยาบาลหรือสถานพยาบาล โดยคณาจารย์คณะเภสัชศาสตร์
2. เพื่อให้เกิดการประสานความร่วมมือทางด้านวิชาการและวิชาชีพระหว่างคณะเภสัชศาสตร์และแหล่งฝึกปฏิบัติวิชาชีพของนักศึกษา
</t>
  </si>
  <si>
    <t>งานฝึกปฏิบัตงานวิชาชีพ/บริการวิชาการ</t>
  </si>
  <si>
    <t>4) โครงการประชุมวิชาการเรื่อง การพัฒนาเครือข่ายเภสัชกรและบุคลากรทางสาธารณสุขภาคตะวันออกเฉียงเหนือ</t>
  </si>
  <si>
    <t xml:space="preserve">1. เพื่อเพิ่มพูนความรู้ ด้านความก้าวหน้าทางวิชาการทางเภสัชกรรมแก่เภสัชกร และบุคลากรทางสาธารณาสุขในภาคตะวันออกเฉียงเหนือ เพื่อใช้ในการปฏิบัติหน้าที่ให้ดียิ่งขึ้น
2. เพื่อเป็นเวทีวิชาการที่เปิดโอกาสให้เภสัชกร นักวิทยาศาสตร์ และบุคลากรทางสาธารณสุขได้เผยแพร่ผลงานวิชาการ ตลอดจนแลกเปลี่ยนความรู้และประสบการณ์ที่สามารถนำไปใช้ในการให้บริการแก่ประชาชนทั่วไป
</t>
  </si>
  <si>
    <t>5) โครงการประชุมวิชาการเรื่อง ความก้าวหน้าทางเภสัชศาสตร์ และสาธารณสุขการแพทย์</t>
  </si>
  <si>
    <t xml:space="preserve">1. เพื่อเพิ่มพูนความรู้ให้แก่เภสัชกรและบุคลากรทางสาธารณสุขให้ทันสมัยและสอดคล้องกับแนวทางการบริบาลทางเภสัชกรรมที่เป็นปัจจุบัน
2. เพื่อพัฒนาความสามารถในการบูรณาการองค์ความรู้หลายประการและประสบการณ์ ในการค้นหา  วางแผนการแก้ไข  ติดตาม และป้องกันปัญหาจากการใช้ยา  เพื่อประชาชนใช้ยาอย่างเหมาะสมกับสภาวะโรค  เศรษฐฐานะ  วิถีชีวิต และความเชื่อของบุคคลนั้นๆ   
</t>
  </si>
  <si>
    <t>6) โครงการประชุมวิชาการภาคเครือข่ายเผยแพร่ผลงานวิชาการ 3 สถาบัน</t>
  </si>
  <si>
    <t>ดร.บัญชา ยิ่งงาม</t>
  </si>
  <si>
    <t>การพัฒนาผลิตภัณฑ์เครื่องดื่มเบญจเกสรเพื่อส่งเสริมสุขภาพ</t>
  </si>
  <si>
    <t>เพื่อพัฒนาผลิตภัณฑ์เครื่องดื่มเบญจเกสรเพื่อต่อยอดทางธุรกิจ</t>
  </si>
  <si>
    <t>จำนวนรูปแบบผลิตภัณฑ์ที่ได้รับการพัฒนา</t>
  </si>
  <si>
    <t>การพัฒนาวิธีการผลิตและปรับปรุงผลิตภัณฑ์แป้งร่ำเพื่อต่อยอดภูมิปัญญาเครื่องหอมพื้นบ้านไทยสำหรับวิสาหกิจชุมชน</t>
  </si>
  <si>
    <t xml:space="preserve">1) เพื่อพัฒนาวิธีการผลิตและปรับปรุงผลิตภัณฑ์แป้งร่ำสำหรับผลิตเป็นสินค้าในระดับวิสาหกิจชุมชน
2) เพื่อเผยแพร่ภูมิปัญญาการผลิตแป้งร่ำซึ่งเป็นเครื่องหอมพื้นบ้านไทยให้แก่ผู้สนใจได้ศึกษาค้นคว้า
</t>
  </si>
  <si>
    <t xml:space="preserve">1. มีหนังสือเรื่อง แป้งร่ำ...เครื่องหอมพื้นบ้านไทย 
2. มีวิธีการผลิตและปรับปรุงผลิตภัณฑ์แป้งร่ำสำหรับผลิตเป็นสินค้าในระดับวิสาหกิจชุมชน
</t>
  </si>
  <si>
    <t>มี
มี</t>
  </si>
  <si>
    <t>คุณค่าของชีวิตหมอพื้นบ้านและวัฒนธรรมการเยียวยาพื้นบ้านในจังหวัดอุบลราชธานี</t>
  </si>
  <si>
    <t>เพื่อค้นหาหมอพื้นบ้านที่มีความรู้ความสามารถ มีบทบาทโดดเด่นในชุมชน มีกระบวนการเยียวยารักษาและตำรับยาสมุนไพรที่น่าสนใจ น่าเชื่อถือ โดยศึกษาตั้งแต่การเรียนรู้ สั่งสมประสบการณ์ การปฏิบัติตัวของหมอ การเก็บแสวงหายาสมุนไพร การเก็บรักษา การแปรรูป ตำรับยา การวินิจฉัยโรค กระบวนการเยียวยา ผลการรักษา ปริมาณคนป่วย</t>
  </si>
  <si>
    <t>องค์ความรู้/บทความวิจัย</t>
  </si>
  <si>
    <t>ดร.สมหวัง จรรยาขันติกุล</t>
  </si>
  <si>
    <t>การศึกษาปัจจัยทางพันธุกรรมที่มีผลต่อโรคไวรัสตับอักเสบซีเรื้อรังในประชากรชาวไทย</t>
  </si>
  <si>
    <t>ผศ.ดร.ปาจารีย์  ทองงอก</t>
  </si>
  <si>
    <t>ฤทธิ์ป้องกันและยับยั้งการเพิ่มจำนวนของเซลล์มะเร็งสมอง SK-N-SH ของสารสกัด Hydroxychavicol จากพลู</t>
  </si>
  <si>
    <t>ดร.ศิริมา  สุวรรณกูฏ</t>
  </si>
  <si>
    <t>การตรวจสอบการสร้างเอนไซม์คาร์บาพีนีเมสและยีนดื้อยาในเชื้อแบคทีเรีย Acinetobacter baumannii ที่ดื้อต่อยาปฏิชีวนะกลุ่มคาร์บาพีเนมที่แยกจากผู้ป่วยโรงพยาบาลสรรพสิทธิประสงค์</t>
  </si>
  <si>
    <t>โครงการสร้างเสริมสุขภาพ คณะเภสัชศาสตร์  
(ใช้งบแหล่งทุนภายนอก จำนวนเงิน 800,000 บาท)</t>
  </si>
  <si>
    <t xml:space="preserve"> - เงินอุดหนุนการดำเนินงานบริการวิชาการ</t>
  </si>
  <si>
    <t>2) เครื่องทำน้ำแข็ง วงเงิน 105,000 บาท</t>
  </si>
  <si>
    <t>1) เครื่องนึ่งฆ่าเชื้อด้วยไอน้ำ  วงเงิน 135,000 บาท</t>
  </si>
  <si>
    <t xml:space="preserve"> ประกอบด้วย</t>
  </si>
  <si>
    <t>6.1 โครงการพัฒนาหลักสูตรระดับปริญญาตรี 
      บัณฑิตศึกษาและหลักสูตรอบรมระยะสั้น</t>
  </si>
  <si>
    <t xml:space="preserve">(1) โครงการปฐมนิเทศและอบรมให้ความรู้ด้าน
     จรรยาบรรณวิชาชีพแก่คณาจารย์ </t>
  </si>
  <si>
    <t xml:space="preserve">(33) โครงการพัฒนาระบบงานบริการวิชาการและทำนุบำรุง
        ศิลปวัฒนธรรมคณะเภสัชศาสตร์ </t>
  </si>
  <si>
    <t>(34) โครงการจัดนิทรรศการทางเภสัชศาสตร์ในงานเกษตร
      อีสานใต้</t>
  </si>
  <si>
    <t>(35)  โครงการการตอบแทนการปฏิบัติงานวิชาชีพประจำ
       แหล่งฝึกปฏิบัติงานวิชาชีพ</t>
  </si>
  <si>
    <r>
      <t xml:space="preserve">(36) โครงการพัฒนาทักษะและจรรยาบรรณการวิจัย 
    </t>
    </r>
    <r>
      <rPr>
        <sz val="13"/>
        <rFont val="TH SarabunPSK"/>
        <family val="2"/>
      </rPr>
      <t xml:space="preserve">  (สำหรับจัดอบรมเสวนา/เวทีแลกเปลี่ยนนักวิจัย/
       ประชาสัมพันธ์เชิงรุก-จัดทำคู่มือ)</t>
    </r>
  </si>
  <si>
    <t xml:space="preserve">(39) โครงการสนับสนุนและจัดสรรทุนวิจัยด้านสุขภาพและยา 
      จากภูมิปัญญาพื้นบ้านอีสานใต้และด้านบริบาล
      เภสัชกรรม </t>
  </si>
  <si>
    <t>8.3 โครงการอุดหนุนทุนพัฒนาบุคลากร</t>
  </si>
  <si>
    <t>8.9 โครงการจัดหาครุภัณฑ์รองรับการดำเนินงานตาม
      ภารกิจหลัก</t>
  </si>
  <si>
    <t>โครงการ/กิจกรรมที่ได้รับการบรรจุในแผนปฏิบัติการคณะเภสัชศาสตร์ มหาวิทยาลัยอุบลราชธานี ประจำปีงบประมาณ 2557</t>
  </si>
  <si>
    <t>โครงการเภสัชศาสตร์วิชาการเสริมศักยภาพชุมชน (Pharmacy Academic Service for Comunity  Empowerment : PhASCE) ประกอบด้วย</t>
  </si>
  <si>
    <t>โครงการสนับสนุนการดำเนินงานบริการวิชาการจากแหล่งทุนภายนอก</t>
  </si>
  <si>
    <t>โครงการในระบบ UBUFMIS</t>
  </si>
  <si>
    <t>งาน/โครงการ</t>
  </si>
  <si>
    <t>โครงการย่อย</t>
  </si>
  <si>
    <t>งานสนับสนุนการบริหารจัดการทั่วไปด้านวิทยาศาสตร์สุขภาพ</t>
  </si>
  <si>
    <t>โครงการพัฒนาระบบบริหารและการจัดการภายใน</t>
  </si>
  <si>
    <t>โครงการจ้างเหมาทำความสะอาด</t>
  </si>
  <si>
    <t>โครงการรองรับความจำเป็นเร่งด่วนในการพัฒนาคณะเภสัชศาสตร์ (เสนอขออนุมัติสภามหาวิทยาลัยเพื่อใช้เงินเหลือจ่ายสะสม)</t>
  </si>
  <si>
    <t>งานจัดการศึกษาสาขาเภสัชศาสตร์</t>
  </si>
  <si>
    <t>โครงการผลิตบัณฑิตสาขาวิชาเภสัชศาสตร์</t>
  </si>
  <si>
    <t xml:space="preserve"> - หมวดเงินอุดหนุนทั่วไป</t>
  </si>
  <si>
    <t xml:space="preserve"> - หมวดค่าครุภัณฑ์</t>
  </si>
  <si>
    <t xml:space="preserve"> - หมวดสิ่งก่อสร้าง</t>
  </si>
  <si>
    <t>8.5 โครงการกำจัดของเสียอันตรายที่เกิดจากการทำ
     ปฏิบัติการการเรียนการสอน และการวิจัย</t>
  </si>
  <si>
    <t>8.6 โครงการซ่อมแซมปรับปรุงห้องเรียนห้องบรรยาย</t>
  </si>
  <si>
    <t xml:space="preserve">8.7 โครงการเงินสมทบทุนวิจัย สกว. </t>
  </si>
  <si>
    <t xml:space="preserve">8.2  โครงการปรับปรุงอาคารและภูมิทัศน์
      คณะเภสัชศาสตร์  </t>
  </si>
  <si>
    <t>8.12 โครงการสนับสนุนมหาวิทยาลัยในการยืมเงินชำระ
        ค่ากระแสไฟฟ้า ครั้งที่ 1</t>
  </si>
  <si>
    <t>งานวิจัยระดับอุดมศึกษาเพื่อสร้างองค์ความรู้</t>
  </si>
  <si>
    <t>โครงการวิจัยเพื่อสร้างองค์ความรู้</t>
  </si>
  <si>
    <t>โครงการวิเคราะห์คุณภาพน้ำดื่มและน้ำแข็ง</t>
  </si>
  <si>
    <t>งานบริการวิชาการแก่ชุมชน</t>
  </si>
  <si>
    <t>โครงการบริการวิชาการ</t>
  </si>
  <si>
    <t>งานทำนุบำรุงศิลปวัฒนธรรม</t>
  </si>
  <si>
    <t>โครงการศึกษา ค้นคว้าวิจัยรวบรวมและเผยแพร่องค์ความรู้และภูมิปัญญาด้านศิลปวัฒนธรรม ชนบธรรมเนียมและประเพณี</t>
  </si>
  <si>
    <t>ผศ.ดร.ปรีชา  บุญจูง</t>
  </si>
  <si>
    <t>ดร.อนุวัฒน์ วัฒนพิชญากูล</t>
  </si>
  <si>
    <t>โครงการงานบุญสงกรานต์</t>
  </si>
  <si>
    <t>โครงการพัฒนาบุคลากร</t>
  </si>
  <si>
    <t>งานกิจการนักศึกษาด้านวิทยาศาสตร์สุขภาพ</t>
  </si>
  <si>
    <t>โครงการส่งเสริมและสนับสนุนกิจกรรมเสริมหลักสูตรและกิจกรรมนอกหลักสูตร</t>
  </si>
  <si>
    <t>โครงการกองทุนส่งเสริมและพัฒนาการผลิตบัณฑิตคณะเภสัชศาสตร์</t>
  </si>
  <si>
    <t xml:space="preserve"> - หมวดเงินอุดหนุนทั่วไป - ค่าจ้างพนักงาน</t>
  </si>
  <si>
    <t xml:space="preserve">  - โครงการจัดหาครุภัณฑ์ประจำอาคารคณะเภสัชศาสตร์</t>
  </si>
  <si>
    <t>(1)  โครงการจัดหาครุภัณฑ์รองรับภารกิจการบริหาร
      จัดการ</t>
  </si>
  <si>
    <t>(2)  โครงการจัดหาครุภัณฑ์รองรับการพัฒนา
       ประสิทธิภาพคอมพิวเตอร์แม่ข่าย และความ
       ปลอดภัยของระบบสารสนเทศ</t>
  </si>
  <si>
    <t>2.3 โครงการแสดงความยินดีกับบัณฑิตและมหาบัณฑิต 
     คณะเภสัชศาสตร์</t>
  </si>
  <si>
    <t xml:space="preserve"> - ค่าตอบแทน</t>
  </si>
  <si>
    <t xml:space="preserve"> - ค่าใช้สอย</t>
  </si>
  <si>
    <t xml:space="preserve"> - ค่าวัสดุ</t>
  </si>
  <si>
    <t xml:space="preserve"> - โครงการย่อยเพื่อโครงการเตรียมความพร้อมของนักศึกษาด้าน
     การฝึกปฏิบัติงานวิชาชีพ :</t>
  </si>
  <si>
    <t xml:space="preserve"> 4.1 โครงการสนับสนุนอาจารย์เข้าร่วมอบรมด้าน
      เภสัชศาสตร์ศึกษาแห่งชาติ</t>
  </si>
  <si>
    <t>4.5 โครงการจัดงานครบรอบ 20 ปีคณะเภสัชศาสตร์</t>
  </si>
  <si>
    <t xml:space="preserve">    และโปรตีน ในงานอิเลคโตรโฟรีซีส   1 ชุด</t>
  </si>
  <si>
    <t xml:space="preserve">     โดยใช้ความดันสูง (HPLC) 1 ชุด</t>
  </si>
  <si>
    <t>1) ชุดบรรจุแคปซูลกึ่งอัตโนมัติ 1 ชุด</t>
  </si>
  <si>
    <t>2) ชุดเครื่องมือสำหรับทำโปรตีนอิเลคโตรโฟเรซีส 1 ชุด</t>
  </si>
  <si>
    <t>3) เครื่องวัดการดูดกลืนแสงชนิดช่วงคลื่นสั้น 1 เครื่อง</t>
  </si>
  <si>
    <t>4) เครื่องวัดออสโมลาริตี้ 1 เครื่อง</t>
  </si>
  <si>
    <t xml:space="preserve">5) เครื่องมือสำหรับบันทึกและพิมพ์ภาพแถบสาร DNA,RNA </t>
  </si>
  <si>
    <t>6) ชุดเครื่องโครมาโตกราฟีวิเคราะห์และแยกสาร</t>
  </si>
  <si>
    <t>1) เครื่องวัดสีผลิตภัณฑ์เครื่องสำอางและยา 1 เครื่อง</t>
  </si>
  <si>
    <t>ค่าจ้าง</t>
  </si>
  <si>
    <t>ค่าตอบแทนใช้สอยวัสดุ</t>
  </si>
  <si>
    <t>ค่าครุภัณฑ์</t>
  </si>
  <si>
    <t>เงินอุดหนุน</t>
  </si>
  <si>
    <t>(3)  โครงการจัดหาเครื่องพิมพ์ผลเพื่อรองรับการบริหาร
       จัดการเอกสารภายใต้โครงการผลิตบัณฑิตระดับ
       ปริญญาตรี</t>
  </si>
  <si>
    <t>(4) โครงการจัดหาครุภัณฑ์ทดแทนและจำเป็นต่อการ
      เพิ่มศักยภาพการเรียนการสอน การบริการวิชาการ
      และการวิจัยของคณะเภสัชศาสตร์ให้เป็นไปอย่าง
      มีประสิทธิภาพ</t>
  </si>
  <si>
    <t xml:space="preserve">โครงการผลิตบัณฑิตระดับบัณฑิตศึกษา </t>
  </si>
  <si>
    <t xml:space="preserve"> (1) โครงการจัดหาคอมพิวเตอร์และอุปกรณ์สื่อ
      โสตทัศนูปกรณ์เพื่อรองรับการเรียนการสอน</t>
  </si>
  <si>
    <t xml:space="preserve"> (2) โครงการจัดหาเครื่องพิมพ์ผลเพื่อรองรับการบริหาร
       จัดการเอกสารภายใต้โครงการผลิตบัณฑิตระดับ
       บัณฑิตศึกษา</t>
  </si>
  <si>
    <t xml:space="preserve"> (3) โครงการจัดหาครุภัณฑ์รองรับการบริหารจัดการ
      ภายใต้โครงการผลิตบัณฑิตระดับบัณฑิตศึกษา</t>
  </si>
  <si>
    <t xml:space="preserve"> - ชุดคอมพิวเตอร์ตั้งโต๊ะ 15 ชุด ๆ ละ 25,000 บาท
   รวมเป็นเงิน 375,000 บาท</t>
  </si>
  <si>
    <t xml:space="preserve"> - เครื่องฉายโปรเจคเตอร์ 4 ชุด ๆ ละ 13,000 บาท รวม
   เป็นเงิน 52,000 บาท</t>
  </si>
  <si>
    <t>3) ตู้บ่มเพาะเชื้อ (Incubator) (5 เครื่อง) วงเงิน 50,000 
   บาท</t>
  </si>
  <si>
    <t>4) ตูอบลมรอน (Hot Air Oven) วงเงิน 55,000 บาท</t>
  </si>
  <si>
    <t>5) ชุดอะคริลิคแชมเบอร์ประกอบเครื่องระเหยแห้ง  
    วงเงิน 65,000 บาท)</t>
  </si>
  <si>
    <r>
      <t xml:space="preserve">6) ชุดเครื่องบดสมุนไพร วงเงิน 90,000 บาท 
   </t>
    </r>
    <r>
      <rPr>
        <i/>
        <sz val="12"/>
        <rFont val="TH SarabunPSK"/>
        <family val="2"/>
      </rPr>
      <t>(ผลผลิต 15-20 kg/hr)</t>
    </r>
    <r>
      <rPr>
        <sz val="13"/>
        <rFont val="TH SarabunPSK"/>
        <family val="2"/>
      </rPr>
      <t xml:space="preserve"> </t>
    </r>
  </si>
  <si>
    <t>โครงการวิจัยเพื่อถ่ายทอดเทคโนโลยี</t>
  </si>
  <si>
    <t>1. เครื่องนึ่งฆ่าเชื้อด้วยไอน้ำ </t>
  </si>
  <si>
    <t>2. เครื่องทำน้ำแข็ง</t>
  </si>
  <si>
    <t>3. ตู้บ่มเพาะเชื้อ (Incubator)</t>
  </si>
  <si>
    <t>4. ตูอบลมรอน (Hot Air Oven) </t>
  </si>
  <si>
    <t>5. ชุดอะคริลิคแชมเบอร์ประกอบเครื่องระเหยแห้ง </t>
  </si>
  <si>
    <t>6. ชุดเครื่องบดสมุนไพร</t>
  </si>
  <si>
    <t>7. ชุดบรรจุแคปซูลกึ่งอัตโนมัติ </t>
  </si>
  <si>
    <t>8. ชุดเครื่องมือสำหรับทำโปรตีนอิเลคโตรโฟเรซีส</t>
  </si>
  <si>
    <t>9. เครื่องวัดการดูดกลืนแสงชนิดช่วงคลื่นสั้น </t>
  </si>
  <si>
    <t>10. เครื่องวัดออสโมลาริตี้ </t>
  </si>
  <si>
    <t>11. เครื่องมือสำหรับบันทึกและพิมพ์ภาพแถบสาร DNA,RNA  และโปรตีนในงานอิเลคโตรโฟรีซีส</t>
  </si>
  <si>
    <t>12. เครื่องวัดสีผลิตภัณฑ์เครื่องสำอางและยา</t>
  </si>
  <si>
    <t>เรียน ผู้เกี่ยวข้อง</t>
  </si>
  <si>
    <t>คณะเภสัชศาสตร์ใคร่ขอความอนุเคราะห์ให้เพิ่มรายการครุภัณฑ์ในระบบ UBUFMIS เพิ่มเติม ดังรายการต่อไปนี้</t>
  </si>
  <si>
    <t>จึงเรียนมาเพื่อโปรดพิจารณา</t>
  </si>
  <si>
    <t>นางสาวเบญจภัค  มิ่งขวัญ  ผู้ประสานงาน  โทร. 3624</t>
  </si>
  <si>
    <t>(1) ค่าตอบแทน</t>
  </si>
  <si>
    <t>(1.1) ค่าตอบแทนการฝึกปฏิบัติงานทั่วไป</t>
  </si>
  <si>
    <t>(1.2) ค่าตอบแทนการฝึกปฏิบัติงานเฉพาะทาง</t>
  </si>
  <si>
    <t>(2) ค่าวัสดุ</t>
  </si>
  <si>
    <t>(3) ค่าใช้สอย</t>
  </si>
  <si>
    <t>3.1) โครงการมอบเสื้อกาวน์แก่นักศึกษาเภสัชศาสตร์</t>
  </si>
  <si>
    <t>3.2) โครงการมัชฌิมนิเทศพัฒนาศักยภาพนักศึกษาสู่
     วิชาชีพนักศึกษาเภสัชศาสตร์ คณะเภสัชศาสตร์</t>
  </si>
  <si>
    <t>3.4) โครงการดำเนินงานสารนิพนธ์ของนักศึกษา
      เภสัชศาสตร์ ประจำปีงบประมาณ 2556</t>
  </si>
  <si>
    <t>3.5) โครงการเตรียมความพร้อมนักศึกษาก่อนออกฝึก
       ปฏิบัติงานวิชาชีพทั่วไป</t>
  </si>
  <si>
    <t>3.6) โครงการเตรียมความพร้อมนักศึกษาก่อนออกฝึก
       ปฏิบัติงานวิชาชีพเฉพาะทาง</t>
  </si>
  <si>
    <t>3.7) โครงการเตรียมแหล่งฝึกปฏิบัติงานวิชาชีพด้าน
       เภสัชชุมชน (ร้านยา)</t>
  </si>
  <si>
    <t>3.8) โครงการเตรียมความพร้อมนักศึกษาเพื่อทำแผนงาน
       การตลาด</t>
  </si>
  <si>
    <t>3.9) โครงการอบรมเสวนาสำหรับแหล่งฝึกปฏิบัติงาน</t>
  </si>
  <si>
    <t>3.10) โครงการความร่วมมือกับแหล่งฝึกปฏิบัติงาน</t>
  </si>
  <si>
    <t xml:space="preserve">3.11) โครงการจัดอบรมเภสัชศาสตร์ศึกษาสำหรับเภสัชกร
      แหล่งฝึกปฏิบัติงานบริบาลเภสัชกรรม </t>
  </si>
  <si>
    <t>3.12) โครงการพัฒนาอาจารย์เพื่อเพิ่มพูนทักษะและ
      ประสบการณ์ด้านวิชาชีพเฉพาะทาง</t>
  </si>
  <si>
    <t>3.13) โครงการฝึกปฏิบัติงานวิชาชีพด้านเวชศาสตร์ชุมชน</t>
  </si>
  <si>
    <t xml:space="preserve">3.14) โครงการประชุมกรรมการฝึกปฏิบัติงานวิชาชีพ </t>
  </si>
  <si>
    <t>3.15) โครงการประกันสุขภาพและความปลอดภัยให้แก่
      นักศึกษาระหว่างการฝึกปฏิบัติงานวิชาชีพ</t>
  </si>
  <si>
    <t>3.16) โครงการพัฒนาแนวคิดของชีวเภสัชศาสตร์กับ
       วิชาชีพเภสัชกรรม</t>
  </si>
  <si>
    <t xml:space="preserve">3.17) โครงการพัฒนาห้องเอกสารอ้างอิงทางเภสัชศาสตร์ </t>
  </si>
  <si>
    <t>3.18) โครงการศึกษาพันธุ์ไม้นอกสถานที่รายวิชา
       ปฏิบัติการเภสัชพฤกษศาสตร์</t>
  </si>
  <si>
    <t xml:space="preserve"> - ค่าใช้จ่ายในการเดินทางนิเทศงานการฝึกปฏิบัติงานเฉพาะทาง</t>
  </si>
  <si>
    <t xml:space="preserve"> - ค่าใช้จ่ายในการเดินทางนิเทศงานการฝึกปฏิบัติงานทั่วไป</t>
  </si>
  <si>
    <t xml:space="preserve"> - ค่าใช้สอยอื่น</t>
  </si>
  <si>
    <t xml:space="preserve">    ค่าใช้สอย (โครงการ/กิจกรรมย่อย)  </t>
  </si>
  <si>
    <t>8.10 โครงการปรับปรุงพื้นที่จอดรถยนต์</t>
  </si>
  <si>
    <t>8.11  โครงการก่อสร้างลานกิจกรรม</t>
  </si>
  <si>
    <t>(2) ค่าใช้สอย</t>
  </si>
  <si>
    <t>(3) ค่าวัสดุ</t>
  </si>
  <si>
    <t>ได้รับความเห็นชอบจากที่ประชุมคณะกรรมการวางแผนการดำเนินงานแล้ว   ในการประชุมครั้งที่ 1/2554 เมื่อวันที่ 18  พฤษภาคม 2554</t>
  </si>
  <si>
    <t>ลำดับที่</t>
  </si>
  <si>
    <t>แผนงาน/โครงการ</t>
  </si>
  <si>
    <t>จำนวนโครงการ/กิจกรรมย่อย</t>
  </si>
  <si>
    <t>วงเงินที่ได้รับอนุมัติตามแผน (บาท)</t>
  </si>
  <si>
    <t>งบประมาณที่จ่ายจริงไตรมาสที่ 1 (บาท)</t>
  </si>
  <si>
    <t>งบประมาณที่จ่ายจริงไตรมาสที่ 2 (บาท)</t>
  </si>
  <si>
    <t>งบประมาณที่จ่ายจริงไตรมาสที่ 3 (บาท)</t>
  </si>
  <si>
    <t>งบประมาณที่จ่ายจริงไตรมาสที่ 4 (บาท)</t>
  </si>
  <si>
    <t>คิดเป็นร้อยละของการเบิกจ่าย</t>
  </si>
  <si>
    <t>ส่งรายงานผล</t>
  </si>
  <si>
    <t>ผลการดำเนินงานในช่วงไตรมาสที่ 3</t>
  </si>
  <si>
    <t>ร้อยละของการบรรจุตามดัชนีบ่งชี้ความสำเร็จ</t>
  </si>
  <si>
    <t>ไม่ส่งรายงานผล</t>
  </si>
  <si>
    <t>ยังไม่ดำเนินการ</t>
  </si>
  <si>
    <t>อยู่ในระหว่างดำเนินการ</t>
  </si>
  <si>
    <t>ดำเนินการแล้วเสร็จ</t>
  </si>
  <si>
    <t>ยกเลิก/ชะลอการดำเนินงาน</t>
  </si>
  <si>
    <t>จำนวนโครงการที่บรรจุในแผนปฏิบัติการ</t>
  </si>
  <si>
    <t>-</t>
  </si>
  <si>
    <t>ก. แผนงานผลิตบัณฑิต</t>
  </si>
  <si>
    <t xml:space="preserve"> - โครงการผลิตบัณฑิตระดับปริญญาตรี</t>
  </si>
  <si>
    <t xml:space="preserve"> - โครงการพัฒนาคุณภาพนักศึกษา</t>
  </si>
  <si>
    <t>ผลการดำเนินงานบรรลุเป้าหมายร้อยละ 100</t>
  </si>
  <si>
    <t xml:space="preserve"> - โครงการฝึกปฏิบัติงานวิชาชีพ </t>
  </si>
  <si>
    <t xml:space="preserve"> - โครงการพัฒนาศักยภาพบุคลากร</t>
  </si>
  <si>
    <t xml:space="preserve"> - โครงการจ้างเหมาทำความสะอาด</t>
  </si>
  <si>
    <t xml:space="preserve"> - โครงการผลิตบัณฑิตระดับบัณฑิตศึกษาและประกาศนียบัตรฯ</t>
  </si>
  <si>
    <t xml:space="preserve"> - โครงการเงินกองทุนส่งเสริมและพัฒนาการผลิตบัณฑิต</t>
  </si>
  <si>
    <t>(1) โครงการกองทุนส่งเสริมและพัฒนาการผลิตบัณฑิตฯ</t>
  </si>
  <si>
    <t>(2) โครงการกองทุนเพื่อเพิ่มประสิทธิภาพการเรียนการสอนฯ</t>
  </si>
  <si>
    <t>โครงการที่แล้วเสร็จ บรรลุเป้าหมายร้อยละ 100 ทุกโครงการ</t>
  </si>
  <si>
    <t>โครงการรองรับความจำเป็นเร่งด่วนฯ</t>
  </si>
  <si>
    <t>ข.แผนงานวิจัย</t>
  </si>
  <si>
    <t xml:space="preserve"> - การดำเนินงานวิจัยเพื่อพัฒนาองค์ความรู้ </t>
  </si>
  <si>
    <t xml:space="preserve"> - การดำเนินงานวิจัย เพื่อถ่ายทอดเทคโนโลยี</t>
  </si>
  <si>
    <t>ค. แผนงานบริการวิชาการแก่ชุมชน</t>
  </si>
  <si>
    <t xml:space="preserve"> - โครงการบริการวิชาการแก่ชุมชน</t>
  </si>
  <si>
    <t>ง. แผนงานทำนุบำรุงศิลปวัฒนธรรม</t>
  </si>
  <si>
    <t xml:space="preserve"> - โครงการทำนุบำรุงศิลปวัฒนธรรม</t>
  </si>
  <si>
    <t>จ. งานสนับสนุนการจัดการจัดศึกษา</t>
  </si>
  <si>
    <t xml:space="preserve"> - โครงการสนับสนุนการจัดการศึกษา (เงินบริจาค)</t>
  </si>
  <si>
    <t xml:space="preserve"> - โครงการเงินผลประโยชน์</t>
  </si>
  <si>
    <t xml:space="preserve"> - โครงการความร่วมมือทางวิชาการฯ (รับโอนเงินจาก ม.อบ)</t>
  </si>
  <si>
    <t>สรุปรวม</t>
  </si>
  <si>
    <t>คิดเป็นร้อยละ</t>
  </si>
  <si>
    <t>สรุปโครงการในแผนปฏิบัติการประจำปี 2556 จำนวน 115 โครงการ/กิจกรรม   มีผลการดำเนินงานในช่วงไตรมาสที่ 2 ดังนี้</t>
  </si>
  <si>
    <t xml:space="preserve"> 1) ส่งรายงานผลการดำเนินงานโครงการแล้ว จำนวน 84 โครงการ </t>
  </si>
  <si>
    <t xml:space="preserve">คิดเป็นร้อยละ </t>
  </si>
  <si>
    <t xml:space="preserve"> 2) ไม่ส่งรายงานผลการดำเนินงานโครงการ  จำนวน 31 โครงการ</t>
  </si>
  <si>
    <t xml:space="preserve"> (ประกอบด้วย  งานฝึกปฏิบัติงานวิชาชีพ/ งานบัณฑิตศึกษา/ งานปฏิบัติการ/ กลุ่มวิชาเภสัชกรรมปฏิบัติ)</t>
  </si>
  <si>
    <t xml:space="preserve"> 3) โครงการที่ส่งรายงานผลการดำเนินงานโครงการแล้ว จำนวน 84 โครงการ </t>
  </si>
  <si>
    <t>3.1) ดำเนินการแล้วเสร็จ จำนวน 6 โครงการ</t>
  </si>
  <si>
    <t>3.2) อยู่ระหว่างดำเนินการ จำนวน 61 โครงการ</t>
  </si>
  <si>
    <t>3.3) ยังไม่ดำเนินการ จำนวน 14 โครงการ</t>
  </si>
  <si>
    <t>3.4) ยกเลิก/ชะลอการดำเนินงาน  จำนวน  3 โครงการ</t>
  </si>
  <si>
    <t xml:space="preserve">4) โครงการที่ดำเนินการแล้วเสร็จ  จำนวน  6 โครงการ         </t>
  </si>
  <si>
    <t xml:space="preserve"> 1) บรรลุเป้าหมายตามแผน</t>
  </si>
  <si>
    <t>2) ไม่บรรลุเป้าหมาย</t>
  </si>
  <si>
    <t>2) ปัญหาและอุปสรรคที่พบในระหว่างในการดำเนินงานตามแผนปฏิบัติการคณะเภสัชศาสตร์ ประจำปี 2554 ไตรมาสที่ 2    เพื่อเสนอที่ประชุมคณะกรรมการประจำคณะฯ พิจารณา</t>
  </si>
  <si>
    <t xml:space="preserve">มติที่ประชุมคณะกรรมการวางแผนการดำเนินงานคณะเภสัชศาสตร์ </t>
  </si>
  <si>
    <t>มติที่ประชุมคณะกรรมการวางแผนดำเนินงานฯ เพื่อเสนอต่อคณะกรรมการประจำคณะฯ</t>
  </si>
  <si>
    <t xml:space="preserve">รายงานผลการดำเนินงานโครงการแผนปฏิบัติการประจำปีงบประมาณ พ.ศ. 2557 คณะเภสัชศาสตร์ มหาวิทยาลัยอุบลราชธานี   </t>
  </si>
  <si>
    <t>ในช่วงไตรมาสที่ 1 (เดือนตุลาคม 2556  - ธันวาคม  2556)</t>
  </si>
  <si>
    <t>1) รายงานผลการดำเนินงานโครงการในแผนปฏิบัติการประจำปีงบประมาณ 2557 คณะเภสัชศาสตร์ ในช่วงไตรมาสที่  1 (เดือนตุลาคม 2556 - ธันวาคม 2556)</t>
  </si>
  <si>
    <t>ลำดับที่โครงการ/กิจกรรม</t>
  </si>
  <si>
    <t>ผลผลิต</t>
  </si>
  <si>
    <t>หน่วยนับ</t>
  </si>
  <si>
    <t>ระยะเวลาการดำเนินงาน</t>
  </si>
  <si>
    <t>ความสอดคล้องกับยุทธศาสตร์และกลยุทธ์ของมหาวิทยาลัย</t>
  </si>
  <si>
    <t>แหล่งเงิน</t>
  </si>
  <si>
    <t>ผลรวมเงินรายได้ทุกประเภท</t>
  </si>
  <si>
    <t>ผลการดำเนินงานตามดัชนีวัดความสำเร็จ</t>
  </si>
  <si>
    <t>ปัญหาอุปสรรค</t>
  </si>
  <si>
    <t>เงินรายได้ ป.ตรี</t>
  </si>
  <si>
    <t>เงินรายได้บัณฑิต
ศึกษา</t>
  </si>
  <si>
    <t>1. เพื่อผลิตบัณฑิตที่มีคุณภาพตามมาตรฐานตามเกณฑ์วิชาชีพและเป็นบัณฑิตที่พึงประสงค์ของสังคมไทย   
2. เพื่อเพิ่มกำลังการผลิตบัณฑิตเภสัชศาสตร์ตอบสนองความต้องการของภูมิภาคตะอันออกเฉียงเหนือและของประเทศ</t>
  </si>
  <si>
    <t xml:space="preserve">1. จำนวนนักศึกษาใหม่ที่รับเข้าศึกษาตามแผน   
2. บัณฑิตที่สำเร็จการศึกษา 
3. บัณฑิตที่สำเร็จการศึกษามีงานทำ </t>
  </si>
  <si>
    <t xml:space="preserve">1. ร้อยละนักศึกษาใหม่ที่รับจริงต่อจำนวนรับตามแผน   
2. ร้อยละของบัณฑิตที่สำเร็จการศึกษาต่อจำนวนที่รับเข้า 
3.ร้อยละของบัณฑิตที่มีงานทำภายหลังจากสำเร็จการศึกษาใน1 ปี </t>
  </si>
  <si>
    <t>1. ร้อยละ 80 
2. ร้อยละ 80
3. ร้อยละ 80</t>
  </si>
  <si>
    <t xml:space="preserve">1. ร้อยละ  
2. ร้อยละ 
3. ร้อยละ </t>
  </si>
  <si>
    <t xml:space="preserve"> 1 ต.ค.2555 - 30 ก.ย.2556</t>
  </si>
  <si>
    <t>กลยุทธ์ที่ 1 (มาตรการที่ 1.2/มาตรการที่ 1.3/มาตรการที่ 1.4  และมาตรการที่ 1.5)</t>
  </si>
  <si>
    <t xml:space="preserve">  1) รายงานไตรมาสที่ 1</t>
  </si>
  <si>
    <t xml:space="preserve">  2) รายงานไตรมาสที่ 2</t>
  </si>
  <si>
    <t xml:space="preserve">  3) รายงานไตรมาสที่ 3</t>
  </si>
  <si>
    <t xml:space="preserve">  4) รายงานไตรมาสที่ 4</t>
  </si>
  <si>
    <t>2) ค่าวัสดุ</t>
  </si>
  <si>
    <t>1.1</t>
  </si>
  <si>
    <t>1. คณาจารย์ได้เข้าร่วมประชุมเภสัชศาสตร์ศึกษาแห่งชาติ และได้ร่วมแสดงความคิดเห็น ในการทบทวน จัดทำข้อเสนอและยุทธศาสตร์
เภสัชศาสตร์ศึกษา    
2. คณาจารย์ได้เปิดมุม 
มองและแลกเปลี่ยนในด้านการพัฒนาการเรียนการสอนเภสัชศาสตร์</t>
  </si>
  <si>
    <t>1. จำนวนอาจารย์ที่ได้เข้าร่วมการประชุมเภสัชศาสตร์ศึกษาแห่งชาติ       2. รายงานสรุปการทบทวน ข้อเสนอ และยุทธศาสตร์เภสัชศาสตร์ศึกษา</t>
  </si>
  <si>
    <t>1. ไม่น้อยกว่า 10 คน        
2. รายงานสรุป 1 ฉบับ</t>
  </si>
  <si>
    <t>จำนวนคน</t>
  </si>
  <si>
    <t>(ขอข้อมูล)</t>
  </si>
  <si>
    <t>เพื่อพัฒนาการดำเนินงานประกันคุณภาพการศึกษาตามเกณฑ์การประกันคุณภาพการศึกษาภายใน (สกอ.), การประกันคุณภาพการศึกษาภายนอก ( สมศ.)  รอบ 3, และเกณฑ์คุณภาพการศึกษาเพื่อการดำเนินการที่เป็นเลิศ</t>
  </si>
  <si>
    <t xml:space="preserve">1. ผลการประเมินการประกันคุณภาพการศึกษาภายใน (สกอ.) ปีการศึกษา 2555 อยู่ในระดับ ดี ถึง  ดีมาก
2. ผลการประเมินการประกันคุณภาพการศึกษาภายนอก (สมศ.) ปีการ
ศึกษา 2555 อยู่ในระดับ  ดีถึง ดีมาก
3. ผลการประเมินการประกันคุณภาพการศึกษาภายนอก สมศ.รอบ3 (ปี 2552-2554) อยู่ในระดับดี 
ถึง ดีมาก
4.จำนวนกิจกรรมที่ถ่ายทอด
ความรู้หรือนำ EdPEx ไปใช้
ในการพัฒนากระบวนการดำเนินงาน ไม่น้อยกว่า   1 ครั้ง </t>
  </si>
  <si>
    <t>1.  ระดับดี-ดีมาก
2.  ระดับดี-ดีมาก
3.  ระดับดี-ดีมาก
4. 1 ครั้ง</t>
  </si>
  <si>
    <t>ระดับ/ครั้ง</t>
  </si>
  <si>
    <t>เดือนตุลาคม 2555- เดือนกันยายน 2556</t>
  </si>
  <si>
    <t xml:space="preserve">กลยุทธ์ที่ 6 </t>
  </si>
  <si>
    <t>1. นักศึกษามีความรู้ความเข้าใจเกี่ยวกับลักษณะทางพฤกษศาสตร์ของพืชสมุนไพร
2. นักศึกษามีความสามัคคีภายในชั้นปี 
3. นักศึกษามีทัศนคติที่ดีต่อการอนุรักษ์ธรรมชาติ และภูมิปัญญาท้องถิ่น</t>
  </si>
  <si>
    <t>1. นักศึกษามีประสบการณ์การเรียนรู้เกี่ยวกับพืชสมุนไพรจากสถานที่จริง
2. นักศึกษามีทัศนคติที่ดีในการเรียนรู้ และอนุรักษ์พืชสมุนไพร</t>
  </si>
  <si>
    <t>นศ ชั้นปีที่ 3</t>
  </si>
  <si>
    <t>คน</t>
  </si>
  <si>
    <t>มิ.ย.-ก.ย.2556</t>
  </si>
  <si>
    <t>1. เพื่อประหยัดเวลาและลดความผิดพลาดในการตรวจกระดาษคำตอบในรายวิชาศึกษาทั่วไปและวิชาเลือกเสรีที่มีจำนวนผู้เรียนมาก
2. เพื่อวิเคราะห์ข้อสอบได้อย่างรวดเร็วและถูกต้อง</t>
  </si>
  <si>
    <t>อาจารย์ผู้รับผิดชอบรายวิชาศึกษาทั่วไป และวิชาเลือกเสรี ประหยัดเวลาในการตรวจกระดาษคำตอบและสามารถประกาศผลการสอบได้รวดเร็วตามกำหนดเวลา</t>
  </si>
  <si>
    <t>มีจำนวนรายวิชาศึกษาทั่วไป หรือวิชาเลือกเสรีเปิดสอนอย่างน้อย 1 รายวิชาต่อปีการศึกษา</t>
  </si>
  <si>
    <t>จำนวนนักศึกษาที่ลงทะบียนเรียนแต่ละรายวิชาตั้งแต่ 150 คน ขึ้นไป</t>
  </si>
  <si>
    <t>ร้อยละ</t>
  </si>
  <si>
    <t>เดือนมิถุนายน-กันยายน 2556 และ เดือนพฤศจิกายน 2556 - กุมภาพันธ์ 2557</t>
  </si>
  <si>
    <t>1. นักศึกษามีภาวะผู้นำ รู้ตักตนเองและทีมงาน สามารถทำงานร่วมกันเป็นทีมได้
2. นักศึกษาเข้าใจระเบียนราชการ และสามารถติดต่อกับส่วนราชการอย่างถูกต้องและเหมาะสม
3. นักศึกษาสามารถวางแผนการดำเนินงานในแต่ละปีการศึกษาได้อย่างมีประสิทธิภาพ
4. นักศึกษาเข้าใจระบบการประกันคุณภาพการศึกษาและประยุกต์ใช้ในการดำเนินกิจกรรมได้</t>
  </si>
  <si>
    <t xml:space="preserve">1. เชิงปริมาณ คือ จำนวนผู้เข้าที่เข้าร่วมกิจกรรมไม่ต่ำกว่าร้อยละ 60
2. เชิงคุณภาพ คือ ความพึงพอใจในโครงการไม่ต่ำกว่า 3.51 </t>
  </si>
  <si>
    <t>1. ไม่ต่ำกว่าร้อยละ 60
2. ไม่ต่ำกว่า 3.51(จากคะแนนเต็ม 5)</t>
  </si>
  <si>
    <t xml:space="preserve">1. ร้อยละ 
2. คะแนน </t>
  </si>
  <si>
    <t>เดือนมีนาคม 2556</t>
  </si>
  <si>
    <t>มีกิจกรรมความร่วมมือกับ
เภสัชกรภาครัฐและเอกชน โดยมีนักศึกษา อาจารย์ บุคลากรร่วมงาน</t>
  </si>
  <si>
    <t xml:space="preserve">1. เชิงปริมาณ คือ จำนวนผู้เข้าร่วมโครงการไม่ต่ำกว่า ร้อยละ 60 
2. เชิงคุณภาพ คือ ความพึงพอใจผู้เข้าร่วมงานไม่ต่ำกว่าคะแนน 3 
</t>
  </si>
  <si>
    <t xml:space="preserve">1. ไม่ต่ำกว่า ร้อยละ 60 
2. ไม่ต่ำกว่าคะแนน 3 (จาก 5 คะแนน)
</t>
  </si>
  <si>
    <t xml:space="preserve">1.ร้อยละ  
2. คะแนน  
</t>
  </si>
  <si>
    <t>เดือนมิถุนายน - กรกฎาคม 2556</t>
  </si>
  <si>
    <t>มีกิจกรรมเสริมสร้างความสัมพันธ์และแลกเปลี่ยนประสบการณ์ระหว่างบัณฑิต คณาจารย์และนักศึกษา</t>
  </si>
  <si>
    <t>1. เชิงปริมาณ คือ จำนวนนักศึกษา อาจารย์ที่เข้าร่วมกิจกรรมไม่ต่ำกว่าร้อยละ 60
2. เชิงคุณภาพ คือ ความพึงพอใจของนักศึกษาเข้าร่วมกิจกรรม  ไม่ต่ำกว่า 3</t>
  </si>
  <si>
    <t xml:space="preserve">1. ไม่ต่ำกว่าร้อยละ 60
2. ไม่ต่ำกว่าคะแนน 3 (จาก 5 คะแนน) </t>
  </si>
  <si>
    <t>เดือนธันวาคม  2556</t>
  </si>
  <si>
    <t>มีกิจกรรมแสดงถึงความกัตญญูกตเวทีต่อคณาจารย์</t>
  </si>
  <si>
    <t xml:space="preserve">1. เชิงปริมาณ คือ จำนวนนักศึกษา อาจารย์ที่เข้าร่วมกิจกรรมไม่ต่ำกว่าร้อยละ 60
2. เชิงคุณภาพ คือ ความพึงพอใจของผู้เข้าร่วมไม่ต่ำกว่า 3.51 </t>
  </si>
  <si>
    <t>1.ไม่ต่ำกว่าร้อยละ 60
2. ไม่ต่ำกว่าคะแนน 3.51 (จาก 5 คะแนน)</t>
  </si>
  <si>
    <t>เดือนมิถุนายน 2556</t>
  </si>
  <si>
    <t>นักศึกษาใหม่ได้รับการปฐมนิเทศเพื่อเตรียมความพร้อมก่อนเข้าศึกษา</t>
  </si>
  <si>
    <t xml:space="preserve">1. เชิงปริมาณ คือ จำนวนนักศึกษา ที่เข้าร่วมกิจกรรมไม่ต่ำกว่าร้อยละ 70
2. เชิงคุณภาพ คือ ความพึงพอใจของผู้เข้าร่วมกิจกรรมไม่ต่ำกว่า 3  
</t>
  </si>
  <si>
    <t xml:space="preserve">1. ไม่ต่ำกว่าร้อยละ 60
2. ไม่ต่ำกว่า  3 (จาก 5 คะแนน )
</t>
  </si>
  <si>
    <t>เดือนพฤษภาคม-มิถุนายน 2556</t>
  </si>
  <si>
    <t>อาจารย์ที่ปรึกษาได้พบปะนักศึกษาเพื่อรับทราบปัญหาและแนวทางการแก้ไขปัญหา</t>
  </si>
  <si>
    <t xml:space="preserve">1. เชิงปริมาณ คือ จำนวนนักศึกษาและอาจารย์ที่เข้าร่วมกิจกรรมไม่ต่ำกว่าร้อยละ 50
2. เชิงคุณภาพ คือ ความพึงพอใจในโครงการไม่ต่ำกว่า 3 </t>
  </si>
  <si>
    <t>1. ไม่ต่ำกว่าร้อยละ 50
2. ไม่ต่ำกว่า 3(จากคะแนนเต็ม 5)</t>
  </si>
  <si>
    <t>1. ร้อยละ
2. คะแนน</t>
  </si>
  <si>
    <t>เดือนพฤศจิกายน 55-มีนาคม 2556</t>
  </si>
  <si>
    <t>มีกิจกรรมที่จัดชึ้นเพื่อให้ณาจารย์ บุคลากรและนักศึกษา รู้สึกผูกพัน ภูมิใจ เป็นส่วนหนึ่งของสถาบัน</t>
  </si>
  <si>
    <t>1. เชิงปริมาณ คือ จำนวนนักศึกษาที่เข้าร่วมกิจกรรมไม่ต่ำกว่าร้อยละ 60
2. เชิงคุณภาพ คือ ความพึงพอใจของผู้เข้าร่วมกิจกรรมไม่ต่ำกว่า 3.51 (จากคะแนนเต็ม 5)</t>
  </si>
  <si>
    <t>1. ไม่ต่ำกว่าร้อยละ 60
2. ไม่ต่ำกว่า 3.51 (จากคะแนนเต็ม 5)</t>
  </si>
  <si>
    <t>1. ร้อยละ 
2. คะแนน</t>
  </si>
  <si>
    <t>2.8</t>
  </si>
  <si>
    <t>เดือนตุลาคม 2555-กันยายน 2556</t>
  </si>
  <si>
    <t>งานฝึกปฏิบัติงาน
วิชาชีพ</t>
  </si>
  <si>
    <t xml:space="preserve">1. เพื่อเตรียมความพร้อมของนักศึกษาและแหล่งฝึกปฏิบัติงาน ก่อนฝึกปฏิบัติงานวิชาชีพ
2. เพื่อให้การดำเนินการฝึกปฏิบัติงานของนักศึกษาเป็นไปอย่างราบรื่น และมีประสิทธิภาพ
3. เพื่อให้การนิเทศงานและประเมินผลการฝึกปฏิบัติงานของอาจารย์ผู้นิเทศงานเป็นไปอย่างมีประสิทธิภาพ
4. เพื่อสัมมนาคณะทำงาน อาจารย์ และแหล่งฝึกปฏิบัติงานวิชาชีพที่เกี่ยวข้องกับการฝึกปฏิบัติวิชาชีพเภสัชกรรม 
5. เพื่อวางแผนแนวทางการบริหารจัดการและแนวทางการพัฒนาที่เกี่ยวกับแหล่งฝึกปฏิบัติงาน </t>
  </si>
  <si>
    <t>1. นักศึกษาเภสัชศาสตร์ได้เข้ารับการฝึกพัฒนาวิชาชีพตามที่กำหนดในหลักสูตร  
2. แหล่งฝึกปฏิบัติงานวิชาชีพได้รับการเตรียมความพร้อมและพัฒนาเพื่อรองรับการฝึกปฏิบัติงานวิชาชีพได้อย่างมีประสิทธิภาพ</t>
  </si>
  <si>
    <t>จำนวนนักศึกษาที่ผ่านการฝึกปฏิบัติงานวิชาชีพ</t>
  </si>
  <si>
    <t xml:space="preserve">กลยุทธที่ 1 มหาวิทยาลัยอุบลราชธานี)  ยุทธศาสตร์ที่ 1 (คณะเภสัชศาสตร์) </t>
  </si>
  <si>
    <t>1. เพื่อให้นักศึกษามีประสบการณ์เชิงสังคม และมีทัศนคติที่ดีในการทำงานร่วมกับผู้อื่น
2. เพื่อให้นักศึกษาได้พัฒนาบุคลิกภาพให้เหมาะสม
3. เพื่อให้นักศึกษาได้พัฒนาทักษะทางสังคม คุณธรรม จริยธรรม และความฉลาดทางอารมณ์         4. เพื่อเสริมสร้างสัมพันธภาพอันดีระหว่างนักศึกษา คณาจารย์</t>
  </si>
  <si>
    <t xml:space="preserve">1. เชิงปริมาณ คือ จำนวนนักศึกษา อาจารย์ที่เข้าร่วมกิจกรรมไม่ต่ำกว่าร้อยละ 60
2. เชิงคุณภาพ คือ ความพึงพอใจของผู้เข้าร่วมกิจกรรมไม่ต่ำกว่า 3
</t>
  </si>
  <si>
    <t xml:space="preserve">1.ร้อยละ 60
2.ความพึงพอใจของผู้เข้าร่วมกิจกรรมไม่ต่ำกว่าระดับ 3 (จาก 5 คะแนน)
</t>
  </si>
  <si>
    <t>1. ร้อยละ          2.คะแนน</t>
  </si>
  <si>
    <t>เดือน กุมภาพันธ์- มีนาคม 2556</t>
  </si>
  <si>
    <t>1. เพื่อให้นักศึกษาได้ศึกษาค้นคว้าด้วยตนเองและพิสูจน์สมมติฐานต่างๆอย่างมีเหตุผล</t>
  </si>
  <si>
    <t>1. นักศึกษาได้รับการพัฒนาทักษะการเรียนรู้ด้วยตนเอง</t>
  </si>
  <si>
    <t>จำนวนร้อยละของรูปเล่มสารนิพนธ์ต่อจำนวนโครงการสารนิพนธ์ในปีการศึกษานี้</t>
  </si>
  <si>
    <t>ร้อยละ 100</t>
  </si>
  <si>
    <t>เดือนตุลาคม 2555 - กันยายน 2556</t>
  </si>
  <si>
    <t>ยุทธศาสตร์ที่ 2 (2.1)</t>
  </si>
  <si>
    <t>1. เพื่อให้นักศึกษาได้มีทบทวนความรู้ และทักษะต่างๆ ที่จำเป็นต่อการฝึกปฏิบัติงานวิชาชีพ
2. เพื่อให้นักศึกษามีทักษะทางวิชาชีพด้านต่างๆ ที่จำเป็นต่อการปฏิบัติงานจริงจากเภสัชกรแหล่งฝึกที่มีประสบการณ์จากการปฏิบัติงานจริงในแหล่งฝึกปฏิบัติงานวิชาชีพ
3. เพื่อให้นักศึกษามีความกระตือรือร้นในการแสวงหาความรู้ใหม่
4. เพื่อให้นักศึกษามีทักษะและความพร้อมสำหรับการสมัครงานหลังจากจบการศึกษา</t>
  </si>
  <si>
    <t xml:space="preserve">1.นักศึกษาได้มีการทบทวนความรู้ และทักษะต่างๆ ที่จำเป็นต่อการฝึกปฏิบัติงานวิชาชีพ
2. นักศึกษามีทักษะในด้านต่างๆ เพิ่มขึ้น สามารถฝึกปฏิบัติงานวิชาชีพได้อย่างมีประสิทธิภาพเพิ่มขึ้นรวมถึงสามารถแบ่งเบาภาระของแหล่งฝึกได้
3. นักศึกษามีความกระตือรือร้นในการแสวงหาความรู้ใหม่ๆ
4. นักศึกษาตระหนักถึงจรรยาบรรณของวิชาชีพเภสัชกรรมและความรับผิดชอบต่อชุมชนและประเทศชาติ </t>
  </si>
  <si>
    <t xml:space="preserve">1.นักศึกษาร่วมกิจกรรมไม่น้อยกว่าร้อยละ 90 
2.นักศึกษาต้องผ่านเกณฑ์ประเมินจากแหล่งฝึกตามที่กำหนด 
3.แหล่งฝึกต้องมีความพึงพอใจ 3 ใน4  </t>
  </si>
  <si>
    <t>1. ร้อยละ  
2.คะแนน</t>
  </si>
  <si>
    <t>กุมภาพันธ์ 2556- มีนาคม 2556</t>
  </si>
  <si>
    <t xml:space="preserve">1. นักศึกษาได้มีทบทวนความรู้ และทักษะต่างๆ ที่จำเป็นต่อการฝึกปฏิบัติงานวิชาชีพ
2. นักศึกษามีทักษะในด้านต่างๆ เพิ่มขึ้น สามารถฝึกปฏิบัติงานวิชาชีพได้อย่างมีประสิทธิภาพเพิ่มขึ้นรวมถึงสามารถแบ่งเบาภาระของแหล่งฝึกได้
3. นักศึกษามีความกระตือรือร้นในการแสวงหาความรู้ใหม่ๆ
4. นักศึกษาตระหนักถึงจรรยาบรรณของวิชาชีพเภสัชกรรมและความรับผิดชอบต่อชุมชนและประเทศชาติ </t>
  </si>
  <si>
    <t>1.นักศึกษาร่วมกิจกรรมไม่น้อยกว่าร้อยละ 90 
2.นักศึกษาต้องผ่านเกณฑ์ประเมินจากแหล่งฝึกตามที่กำหนด 
3.แหล่งฝึกต้องมีความพึงพอใจ 3 ใน5</t>
  </si>
  <si>
    <t>1. ร้อยละ 
2.คะแนน</t>
  </si>
  <si>
    <t>มิถุนายน 2556-กรกฎาคม 2556</t>
  </si>
  <si>
    <t xml:space="preserve">เพื่อให้นักศึกษาได้เพิ่มพูนความรู้และมีทักษะใน   งานเภสัชกรรมการตลาด </t>
  </si>
  <si>
    <t>นักศึกษาเข้าใจถึงความสำคัญ และบทบาท ของรายวิชาเภสัชกรรมการตลาด</t>
  </si>
  <si>
    <t>นักศึกษามีความรู้ในงานด้านเภสัชกรรมการตลาด</t>
  </si>
  <si>
    <t>ประกวดโครงงานได้รางวัลอย่างน้อย 1 รางวัล</t>
  </si>
  <si>
    <t>จำนวนรางวัล</t>
  </si>
  <si>
    <t>เพื่อพัฒนาเภสัชกร และอาจารย์ประจำแหล่งฝึกให้มีมาตรฐานในการประเมินนักศึกษา</t>
  </si>
  <si>
    <t>1.คณะเภสัชศาสตร์มีเครือ ข่ายโรงพยาบาล ร้านยาที่
สามารถรองรับการเรียน
การสอนและการฝึกปฏิบัติ
 งานวิชาชีพเพิ่มขึ้น
2. แหล่งฝึกปฎิบัติงานวิชาชีพได้รับการพัฒนา
ศักยภาพให้มีคุณภาพสอดคล้องกับมาตรฐาน หลักสูตรของคณะเภสัชศาสตร์และเกณฑ์มาตรฐาน
ของสภาเภสัชกรรม
3.เกิดความร่วมมืออย่าง
ต่อเนื่องและเป็นรูปธรรม
ระหว่างคณะเภสัชศาสตร์
กับแหล่งฝึกปฏิบัติงานในด้านต่างๆ เพื่อให้การจัด 
การเรียนการสอนสาขา
เภสัชศาสตร์เป็นไปอย่าง
มีประสิทธฺภาพและต่อเนื่อง
4. บัณฑิตคณะเภสัชศาสตร์
มีความรู้  ตลอดจนได้รับการฝึกฝนทักษะและประสบการณ์ทางวิชาชีพอย่างเพียงพอเมื่อสำเร็จการศึกษาออกไปประกอบวิชาชีพ</t>
  </si>
  <si>
    <t>1. การจัดประชุม  อบรม อาจารย์และ เภสัชกรแหล่งฝึก
2. การส่งเภสัชกรแหล่งฝึกเพื่อพัฒนาอบรมการเรื่องเภสัชศาสตรศึกษา
3. การทำบันทึกข้อตกลงกับแหล่งฝึก
4. การวิทยากรสนับสนุนแหล่งฝึกในการประชุมวิชาการ</t>
  </si>
  <si>
    <t>1. ครั้ง
2. ครั้ง
3. แหล่ง
4. ครั้ง</t>
  </si>
  <si>
    <t>1. อย่างน้อย 1 ครั้ง
2. อย่างน้อย 1 ครั้ง
3. อย่างน้อย 1 แหล่ง
4. อย่างน้อย 1 ครั้ง</t>
  </si>
  <si>
    <t>เดือน ตุลาคม 2555-กันยายน 2556</t>
  </si>
  <si>
    <t xml:space="preserve">กลยุทธที่ 2,4 (มหาวิทยาลัยอุบลราชธานี)  ยุทธศาสตร์ที่ 2 (คณะเภสัชศาสตร์) </t>
  </si>
  <si>
    <t>เพื่อความร่วมมือในการพัฒนาแหล่งฝึกปฏิบัติงานวิชาชีพร่วมกัน 3 สถาบัน  มข  มมส  มอบ</t>
  </si>
  <si>
    <t>1. นักศึกษาเภสัชศาสตร์มีแหล่งฝึกที่มีศักยภาพรองรับการฝึกปฏิบัติงาน เพื่อนำความรู้ที่ได้เรียนทางทฤษฎีไปปฏิบัติงานจริงได้
2. สร้างประสบการณ์เรียนรู้การทำงานจากแหล่งฝึกที่ดีให้แก่นักศึกษา</t>
  </si>
  <si>
    <t>1. มี MOU
2 มีการจัดประชุมอย่างน้อย 1 ครั้งต่อปี</t>
  </si>
  <si>
    <t>1 และ 2 จำนวน</t>
  </si>
  <si>
    <t>1. มี MOU 
2. มีการจัดประชุมอย่างน้อย 1 ครั้งต่อปี</t>
  </si>
  <si>
    <t xml:space="preserve">กลยุทธที่ 2,4 
(มหาวิทยาลัยอุบลราชธานี)  ยุทธศาสตร์ที่ 2 (คณะเภสัชศาสตร์) </t>
  </si>
  <si>
    <t>อาจารย์/บุคลากรได้รับการพัฒนาศักยภาพให้พร้อมรองรับการปฏิบัติงาน</t>
  </si>
  <si>
    <t>จำนวนร้อยละของบุคลากรที่ได้รับการสนับสนุนทุนเพื่อพัฒนาศักยภาพ</t>
  </si>
  <si>
    <t>กลยุทธ์ที่ 7  (มาตรการที่ 7.4)</t>
  </si>
  <si>
    <t>เพื่อดำเนินการจ้างเหมาทำความสะอาดอาคารคณะเภสัชศาสตร์ อาคารสถานปฏิบัติการเภสัชกรรมชุมชน อาคารศูนย์สัตว์ทดลองและวิจัย และโรงกรองน้ำดื่ม</t>
  </si>
  <si>
    <t>มีบุคลากรรองรับงานจ้างเหมาทำความสะอาด</t>
  </si>
  <si>
    <t>มีหน่วยงาน/บุคคเข้าดำเนินการจ้างเหมาทำความสะอาดในพื้นที่ที่กำหนด</t>
  </si>
  <si>
    <t xml:space="preserve">กลยุทธ์ที่ 6   </t>
  </si>
  <si>
    <t xml:space="preserve"> โครงการผลิตบัณฑิตระดับบัณฑิตศึกษาและประกาศนียบัตรบัณฑิต</t>
  </si>
  <si>
    <t xml:space="preserve">  - หมวดค่าตอบแทนใช้สอยและวัสดุ</t>
  </si>
  <si>
    <t>โครงการกองทุนส่งเสริมและพัฒนาการผลิตบัณฑิต ประกอบด้วย</t>
  </si>
  <si>
    <t>เพื่อจัดสรรทรัพยากรรองรับการดำเนินงานตามภารกิจหลักของคณะฯ</t>
  </si>
  <si>
    <t>มีงบประมาณรองรับการดำเนินงานในแต่ละกิจกรรมตามภารกิจหลักอย่างครบถ้วนตามแผนที่กำหนด</t>
  </si>
  <si>
    <t>มีงบประมาณรองรับการดำเนินงานในแต่ละกิจกรรมตามภารกิจหลักตามแผนที่กำหนดอย่างน้อยร้อยละ 80 ของแผน</t>
  </si>
  <si>
    <t>1 ต.ค.2555 - 30 ก.ย.2556</t>
  </si>
  <si>
    <t>เพื่อให้ความรู้และแนวปฏิบัติที่ถูกต้องตามระเบียบของทางราชการแก่อาจารย์/บุคลากร  ที่กลับจากลาศึกษาต่อและบรรจุใหม่</t>
  </si>
  <si>
    <t>บุคลากรนำความรู้ที่ได้รับไปใช้ประโยชน์ในการปฏิบัติงานลดปัญหาและข้อผิดพลาดในการปฏิบัติงานที่เกี่ยวข้องกับระเบียบ/แนวปฏิบัติของทางราชการ</t>
  </si>
  <si>
    <t>บุคลากรใหม่และผู้กลับจากลาศึกษาต่อเข้าร่วมโครงการ</t>
  </si>
  <si>
    <t>เดือนเม.ย.-พ.ค.2556</t>
  </si>
  <si>
    <t>เพื่อประกาศเกียรติคุณบุคลากรที่มีผลงานดีเด่นในด้านต่างๆ เพื่อเป็นขวัญและกำลังใจในการปฏิบัติงานแก่บุคลากร</t>
  </si>
  <si>
    <t>บุคลากรมีขวัญและกำลังใจการปฏิบัติงานให้บรรลุเป้าหมายที่กำหนด</t>
  </si>
  <si>
    <t>จำนวนผู้ได้รับประกาศเกียรติคุณมาจากทุกสายงาน</t>
  </si>
  <si>
    <t>เดือน ธ.ค.2555-ม.ค.2556</t>
  </si>
  <si>
    <t>เพื่อให้อาจารย์ได้ทราบข้อมูลต่างๆและเตรียมความพร้อมในการเข้าสู่ตำแหน่งทางวิชาการ</t>
  </si>
  <si>
    <t>อาจารย์ได้รับทราบขั้นตอน วิธีการ ในการเข้าสู่ตำแหน่งทางวิชาการ</t>
  </si>
  <si>
    <t>ร้อยละของอาจารย์ที่ไม่มีตำแหน่งทางวิชาการที่เข้าร่วมอบรม</t>
  </si>
  <si>
    <t>เดือน ต.ค. 2555-มี.ค. 2556</t>
  </si>
  <si>
    <t>เพื่อจัดทำแผนการดำเนิน งานและติดตาม ผลการดำเนิน งานตามแผนให้บรรลุตามเป้า หมายที่กำหนด</t>
  </si>
  <si>
    <t>มีรายงานผลการดำเนิน งานตามประจำปี การดำเนิน งานบรรลุตามวัตถุ ประสงค์และเป้าหมายที่กำหนด</t>
  </si>
  <si>
    <t xml:space="preserve">1. มีแผนงบประมาณ           
2.มีแผนปฏิบัติ การประจำปี   
3. มีการติดตามผลการดำเนิน งาน </t>
  </si>
  <si>
    <t>1) 1 ฉบับ      2) 1 ฉบับ      3) ไม่น้อยกว่า 2 ครั้งต่อปี</t>
  </si>
  <si>
    <t>เพื่อพัฒนาองค์ความรู้และทักษะด้านการบริหารแก่ผู้บริหารของคณะเภสัชศาสตร์</t>
  </si>
  <si>
    <t>การบริหารงานในหน่วยงานมีประสิทธิภาพ</t>
  </si>
  <si>
    <t>1. จำนวนผู้บริหารที่เข้าร่วม
โครงการ                    
2. ผู้บริหารที่เข้าร่วมโครง 
การสามารถนำแนวคิด 
ทฤษฎีมาประยุกต์ใช้ในงานที่รับผิดชอบโดยมีผลการประเมินการปฏิบัติงานบริหารดีขึ้น</t>
  </si>
  <si>
    <t>1. จำนวน 1-3 คน             2. ผลการประเมินการบริหารดีขึ้น</t>
  </si>
  <si>
    <t>1.เพื่อเป็นเวทีให้อาจารย์ และบุคลากรได้พบปะแลกเปลี่ยนความรู้ ประสบ การณ์ร่วมกัน    
2. เพื่อเป็นเวทีให้ความรู้ ชึ้แจงและตอบข้อสงสัยในเรื่องระเบียบ  ข้อบังคับ แนว ปฏิบัติ สวัสดิการ สิทธิประโยชน์ต่างๆ เป็นต้น</t>
  </si>
  <si>
    <t xml:space="preserve">อาจาจารย์และบุคลากรรับทราบแนวปฏิบัติที่เข้าใจตรงกัน และบุคลากรมีส่วนร่วมในการบริหารจัดการ ทำให้เกิดการพัฒนาคุณภาพในด้านการบริหารจัดการ </t>
  </si>
  <si>
    <t>1. จำนวนอาจารย์และบุคลากรที่เข้าร่วมกิจกรรม     2. ผลการประเมินจากผู้เข้าร่วมโครงการอยู่ในเกณฑ์พอใจไม่น้อยกว่าร้อยละ 80</t>
  </si>
  <si>
    <t>1.ไม่น้อยกว่าร้อยละ  60 ของอาจารย์ทั้งหมด         2. ผลการประเมินความพึงพอใจไม่น้อยกว่าร้อยละ 80</t>
  </si>
  <si>
    <t>1. ร้อยละ 2.ระดับความพึงพอใจ</t>
  </si>
  <si>
    <t>เพื่อประเมินความเสี่ยงและวางแผนบริหารความเสี่ยงในอันที่จะทำให้การดำเนินงานของหน่วยงานไม่บรรลุวัตถุประสงค์ที่กำหนด</t>
  </si>
  <si>
    <t>มีการดำเนินงานตามภารกิจหลักโดยไม่มีความเสี่ยงที่จะทำให้การดำเนินงานไม่บรรลุเป้าหมาย</t>
  </si>
  <si>
    <t>1. แผนการประเมินความเสี่ยง   
2.มีการจัดทำแผนบริหารความ 
ความเสี่ยง   
3.มีการรายงานผลการดำเนินงาน  
4. การดำเนินงานตามภารกิจ
หลักบรรลุเป้าหมาย</t>
  </si>
  <si>
    <t>1. มีแผนการประเมินความเสี่ยง           2.มีการจัดทำแผนบริหาร ความเสี่ยง     3.มีการรายงานผลการดำเนินงาน 
4.การดำเนิน
งานตาม
ภารกิจหลักบรรลุเป้าหมาย</t>
  </si>
  <si>
    <t>1. มี        
2. มี        
3. มี         
4.ผลการดำเนินงานตามภารกิจหลักบรรลุเป้าหมาย</t>
  </si>
  <si>
    <t>เพื่อทำความสะอาด ปรับระบบการจัด เก็บเอกสาร วัสดุ อุปกรณ์ให้เป็นระบบ ระเบียบ และเอื้อต่อการปฏิบัติงาน</t>
  </si>
  <si>
    <t>หน่วยงานสะ  อาดมีระบบการจัดเก็บเอกสารที่สะดวกต่อการค้นหามีระบบ การจัดวาง วัสดุอุปกรณ์ที่ ง่ายต่อการใช้งาน</t>
  </si>
  <si>
    <t>1. จำนวนบุคลากรที่เข้าร่วมโครงการ    
2.จำนวนกิจกรรมที่จัดขึ้นเพื่อรองรับการ ทำ 5 ส.</t>
  </si>
  <si>
    <t xml:space="preserve">เพื่อให้บุคลากรสาย สนับสนุนได้เพิ่มพูนความรู้  และได้แนวคิดที่เป็นประโยชน์ในการนำมาพัฒนางาน       </t>
  </si>
  <si>
    <t>บุคลากรได้   รับการพัฒนา ศักยภาพและนำมาประยุกต์ ใช้ในการพัฒนางานให้มีประสิทธิภาพเป็นหน่วยที่มีคุณภาพได้</t>
  </si>
  <si>
    <t>1. ผู้แทนบุคลากรสายสนับสนุนจากงานต่างๆได้รับการเพิ่มพูนความรู้และประสบการณ์ครบถ้วนทุกงาน คิดเป็นร้อยละ 100 
2.ผู้ร่วมโครงการมีแผนและผลการพัฒนา ปรับ ปรุงงานในความรับผิดชอบ</t>
  </si>
  <si>
    <t xml:space="preserve">1. ไม่น้อยกว่า
ร้อยละ 70     
2. ร้อยละ 100
</t>
  </si>
  <si>
    <t xml:space="preserve">1. ร้อยละ 2. ร้อยละ </t>
  </si>
  <si>
    <t>เพื่อให้ค่าตอบ แทนเพิ่ม แก่บุคลากรที่เป็นการจูงใจบุคลากรให้มีขวัญ และกำลังใจในการปฏิบัติงานในหน้าที่เต็มกำลังความ สามารถ ตามเกณฑ์ภาระงานที่ กำหนด</t>
  </si>
  <si>
    <t>บุคลากรมีขวัญและกำลังใจในการปฏิบัติงาน</t>
  </si>
  <si>
    <t>1.มีรายงานภาระงานแ         
2. มีการจัดสรรค่าตอบแทนตามเกณฑ์อย่างน้อยปีละ 2 ครั้ง</t>
  </si>
  <si>
    <t>1.มี             2.อย่างน้อยปีละ 2 ครั้ง</t>
  </si>
  <si>
    <t>1. มี        
2. ครั้ง</t>
  </si>
  <si>
    <t>1.เพื่อให้อาจารย์บุคลากรได้มี
ปฏิสัมพันธ์ อันดีระหว่างกัน    
2.เพื่อสร้างความสัมพันธ์อันดีระหว่างคณะฯ กับหน่วยงานภายนอก นำไปสู่การประสานงานที่ดี ในระหว่างการทำงาน</t>
  </si>
  <si>
    <t>การติดต่อประสานงาน การทำงานร่วมกันเป็นไปด้วยความราบรื่น ลดปัญหาความไม่เข้าใจกัน</t>
  </si>
  <si>
    <t>1. จำนวนผู้เข้าร่วมโครงการ 
2. ความพึงพอใจในการเข้าร่วมโครงการ</t>
  </si>
  <si>
    <t>1.ไม่น้อยกว่า
ร้อย ละ 80 
ของกลุ่ม 
เป้าหมาย      
2.คะแนน 3.5 
(เต็ม5 คะแนน)</t>
  </si>
  <si>
    <t xml:space="preserve">1.ร้อยละ   2.ระดับคะแนน  </t>
  </si>
  <si>
    <t>การทำงานเป็นไปด้วยมีประสิทธิ ภาพ ราบรื่น ลดปัญหาในการปฏิบัติงาน</t>
  </si>
  <si>
    <t>1. จำนวนบุคลากรที่เข้าร่วมโครงการ                          
2. จำนวนการประชุม เพื่อ แลกเปลี่ยนความรู้ความคิด เป็นและทัศนคติ</t>
  </si>
  <si>
    <t xml:space="preserve"> เพื่อพัฒนาระบบบริหารทรัพยากรบุคคลโดยยึดแนว  คิด HR Scorecard</t>
  </si>
  <si>
    <t>1. การดำเนิน งานของคณะสามารถบรรลุพันธกิจและเป้าหมายในด้านต่างๆ
2. บุคลากรมีคุณภาพชีวิตและความสมดุล</t>
  </si>
  <si>
    <t>1 .มีแผบริหารทรัพยากรบุคคล   
2. มีกิจกรรมบริหารทรัพยากร
   บุคคล                        
3. มีระบบบริหารผลงาน 
4.บุคลากรมีความพึงพอใจ</t>
  </si>
  <si>
    <t>1 .มีแผนบริหารทรัพยากร บุคคล          
2. มีกิจกรรมบริหาร ทรัพยากร บุคคล          
3. มีระบบบริหารผลงาน
4. บุคลากรมีความพึงพอใจ</t>
  </si>
  <si>
    <t>1. มี        
2. มี        
3. มี        
4. มี</t>
  </si>
  <si>
    <t>7.16</t>
  </si>
  <si>
    <t>เพื่อให้บุคลากรได้เรียนรู้หลักการและจิตวิทยาการทำงานร่วมกับผู้อื่นในทีม  เสริมสร้างสัมพันธภาพที่ดีของทีมงานที่ประกอบด้วยบุคลากรทุกระดับ ทุกสายงานในองค์กร</t>
  </si>
  <si>
    <t xml:space="preserve"> บุคลากรได้แลกเปลี่ยนเรียนรู้และร่วมกิจกรรมเพื่อเสริม สร้างทีมงานที่เป็นเลิศ  สามารถปฏิบัติงานรองรับภารกิจหลักของหน่วยงานได้อย่างมีประสิทธิภาพ</t>
  </si>
  <si>
    <t>1.ประโยชน์ ที่ได้รับจาก การเข้าร่วม กิจกรรมโครงการ  ไม่น้อยกว่า 3.5(คะแนนเต็ม 5 คะแนน)
2. ความพึงพอใจของผู้เข้าร่วมโครงการ ไม่น้อยกว่า 3.5 (คะแนนเต็ม 5 คะแนน)</t>
  </si>
  <si>
    <t>1.ไม่น้อยกว่า 3.5(คะแนนเต็ม 5 คะแนน)
2. ความพึงพอใจของผู้เข้าร่วมโครงการ ไม่น้อยกว่า 3.5 (คะแนนเต็ม 5 คะแนน)</t>
  </si>
  <si>
    <t>1. คะแนน  
2. คะแนน</t>
  </si>
  <si>
    <t>7.17</t>
  </si>
  <si>
    <t>เพื่อรับรองแขกและผู้มีประสบการณ์ด้านวิชาการและวิชาชีพที่เดินทางมาให้คำปรึกษาแนะนำคณะเภสัชศาสตร์</t>
  </si>
  <si>
    <t>เกิดสัมพันธ  ภาพที่ดีระหว่าง ผู้บริหาร  อาจารย์ บุคลากรและผู้ที่มาให้คำแนะ นำปรึกษาและเยี่ยมชมคณะฯ</t>
  </si>
  <si>
    <t>1. จำนวนผู้เชี่ยวชาญที่เดินทางมา คณะฯ          2. จำนวนผู้เข้าร่วมแลกเปลี่ยน ประสบการณ์วิชาการและวิชาชีพ ไม่น้อยกว่าร้อยละ 80</t>
  </si>
  <si>
    <t>1. จำนวนผู้เชี่ยวชาญที่เดินทางมาคณะฯ         2.ผู้เข้าร่วมแลกเปลี่ยนประสบการณ์วิชาการและวิชาชีพไม่น้อยกว่าร้อยละ 80</t>
  </si>
  <si>
    <t>1. คน        
2. ร้อยละ</t>
  </si>
  <si>
    <t>7.18</t>
  </si>
  <si>
    <t>เพื่อเสริมสร้าง ทีมงานเตรียมรองรับกิจกรรมต่างๆ ของคณะฯ และมหาวิทยาลัยฯ</t>
  </si>
  <si>
    <t>มีทีมงานที่มีคุณภาพ</t>
  </si>
  <si>
    <t>จำนวนอาจารย์และบุคลากรที่เข้าร่วมโครงการที่ต้องมีทีม งานที่แต่งกายตาม แบบแผน เรียบร้อย  และ เหมาะสม</t>
  </si>
  <si>
    <t>7.19</t>
  </si>
  <si>
    <t>เพื่อจัดให้มีการตรวจสุขภาพประจำปีให้แก่บุคลากรทุกสายงาน เพื่อให้มีความมั่นใจว่าบุคลากรปราศจากความเสี่ยงจากการเจ็บป่วย หรือกรณีพบความผิดปกติจะได้รับการรักษา ทำให้บุคลากรมีคุณภาพชีวิตที่ดี สามารถปฏิบัติงานได้เต็มกำลังความสามารถ</t>
  </si>
  <si>
    <t>บุคลากรได้รับการตรวจสุขภาพประจำปี</t>
  </si>
  <si>
    <t>จำนวนร้อยละของบุคลากรที่เข้ารับการตรวจสุขภาพประจำปี ไม่น้อยกว่าร้อยละ 60</t>
  </si>
  <si>
    <t>เดือนกรกฎาคม-สิงหาคม 2556</t>
  </si>
  <si>
    <t>7.20</t>
  </si>
  <si>
    <t>1. เพื่อสนับสนุนให้มีการผลิตผล
   งานวิจัยหรืองานสร้างสรรค์ที่
   สามารถนำไปใช้ประโยชน์ได้
2. เพื่อให้นักวิจัยมีกำลังใจในการ
   สร้างสรรค์ผลงานวิจัยที่มี
   คุณภาพ สอดคล้องกับความ
   ต้องการของสังคมและท้องถิ่น</t>
  </si>
  <si>
    <t>1. มีผลงานวิจัยที่สอดคล้องกับ
   ความต้องการของสังคมและ
   ท้องถิ่น
2. คณะเภสัชศาสตร์มีชื่อเสียง
   จากการนำผลงานวิจัยไปใช้
   ให้เกิดประโยชน์ต่อสังคมและ
   ท้องถิ่น</t>
  </si>
  <si>
    <t>จำนวนผลงานวิจัยที่ได้รับการนำไปใช้ประโยชน์ไม่น้อยกว่า 15 เรื่อง</t>
  </si>
  <si>
    <t>ไม่น้อยกว่า 15 เรื่อง</t>
  </si>
  <si>
    <t>เรื่อง</t>
  </si>
  <si>
    <t xml:space="preserve"> เดือนพฤษภาคม-กันยายน 2556</t>
  </si>
  <si>
    <t>ยุทธศาสตร์ที่ 3</t>
  </si>
  <si>
    <t>1. จัดทำวีดีทัศน์แนะนำคณะ
2. จัดทำคลังรูปภาพเพื่อการประชาสัมพันธ์</t>
  </si>
  <si>
    <t>1. มีวีดีทัศน์แนะนำคณะ
2. มีคลังรูปภาพเพื่อการประชาสัมพันธ์</t>
  </si>
  <si>
    <t>1. มีวีดีทัศน์แนะนำคณะภาษาไทย และอังกฤษ อย่างละ 1 ฉบับ
2. มีคลังรูปภาพเพื่อการประชาสัมพันธ์คณะจำนวนไม่น้อยกว่า 100 รูป</t>
  </si>
  <si>
    <t>1. 2 ฉบับ
2. ไม่น้อยกว่า 100 รูป</t>
  </si>
  <si>
    <t>ฉบับ'/รูป</t>
  </si>
  <si>
    <t>เพื่อรวบรวมองค์ความรู้ด้านต่างๆ ที่ที่มีอยู่ในองค์กร หรือมีความจำเป็นต่อองค์กร  ที่กระจัดกระจายอยู่ในตัวบุคคลหรือเอกสาร มาพัฒนาเป็นแนวปฏิบัติที่ดี และจัดเก็บอย่างเป็นระบบ</t>
  </si>
  <si>
    <t>มีการถอดบทเรียนที่ได้จากการจัดการความรู้เป็นลายลักษร์อักษร และ เผยแพร่ให้ผู้เกี่ยวข้องได้นำไปใช้ประโยชน์</t>
  </si>
  <si>
    <t>มีการดำเนินงานตามเกณฑ์ประกันคุณภาพ (ตัวบ่งชี้ที่ 7.2 การพัฒนาสถาบันสู่สถาบันเรียนรู้) ครบทุกข้อ</t>
  </si>
  <si>
    <t>ช้อ</t>
  </si>
  <si>
    <t xml:space="preserve">กลยุทธ์ที่ 6, 7 </t>
  </si>
  <si>
    <t>1. พัฒนาบุคลากรให้สามารถใช้ระบบสารสนเทศของคณะได้อย่างมีประสิทธิภาพ
2.  พัฒนาบุคลากรให้สามารถใช้โปรแกรมสำเร็จรูปได้อย่างมีประสิทธิภาพ
3.  พัฒนาบุคลากรให้สามารถดูแลรักษาเครื่องคอมพิวเตอร์เบื้องต้นได้</t>
  </si>
  <si>
    <t>1. บุคลากรสามารถใช้ระบบสารสนเทศของคณะได้อย่างมีประสิทธิภาพ
2.  บุคลากรสามารถใช้โปรแกรมสำเร็จรูปได้อย่างมีประสิทธิภาพ
3.  บุคลากรสามารถดูแลรักษาเครื่องคอมพิวเตอร์เบื้องต้นได้</t>
  </si>
  <si>
    <t>มีบุคลากรเข้าร่วมกิจกรรมไม่น้อยกว่าร้อยละ 80 (รวมทุกกิจกรรม, ไม่นับซ้ำ)</t>
  </si>
  <si>
    <t>กลยุทธ์ที่ 2,7</t>
  </si>
  <si>
    <t>1. เพื่อช่วยเหลือนักศึกษาที่มีฐานะยากจน ผลการเรียนดี
ขาดแคลนทุนทรัพย์
2. เพื่อให้นักศึกษาได้รับทุนมี
ขวัญกำลังใจในการศึกษาเล่า
เรียนต่อไป
3. เพื่อให้นักศึกษามีความ
ภาคภูมิใจในคณะเภสัชศาสตร์
4. เพื่อส่งเสริมให้นักศึกษาได้รับทุนเข้าร่วมกิจกรรมของคณะและมหาวิทยาลัย</t>
  </si>
  <si>
    <t xml:space="preserve">1. ครั้ง         
2. คน          
3. ชั่วโมง
</t>
  </si>
  <si>
    <t>7.27</t>
  </si>
  <si>
    <t xml:space="preserve">1. เพื่อพัฒนาระบบบริหารจัดการ  และกลไกการบริหารจัดการห้องปฏิบัติการปลอดภัย
2. เพื่อนำระบบนำไปสู่การปฏิบัติ และขยายผลให้กับคณะอื่นภายในมหาวิทยาลัย 
</t>
  </si>
  <si>
    <t xml:space="preserve"> - มีห้องปฏิบัติการที่
ปลอดภัยรองรับการจัดการเรียนการสอนและการวิจัย</t>
  </si>
  <si>
    <t>1. แบบตรวจสอบความปลอดภัย 1 ระบบ
2. ห้องปฏิบัติการเครื่อข่ายได้รับการพัฒนา 2  แห่ง
3.มีกิจกรรมการแลกเปลี่ยนเรียนรู้ระหว่างเครือขช่าย &gt;3 กิจกรรม
4. นักศึกษาและบุคลากรที่เข้าอบรมสอบผ่านได้รับ Safety Card 95 %</t>
  </si>
  <si>
    <t>1. 1 ระบบ
2. 2 แห่ง
3. 3 กิจกรรม
4. ร้อยละ 95</t>
  </si>
  <si>
    <t>1 ระบบ
2 แห่ง
3. กิจกรรม
4. ร้อยละ</t>
  </si>
  <si>
    <t>กันยายน 55 ธันวาคม 55</t>
  </si>
  <si>
    <t>ยุทธศาสตร์ที่ 5</t>
  </si>
  <si>
    <t xml:space="preserve">1. เพื่อเผยแพร่ผลงานวิจัย งานบริการวิชาการ และผลผลิตที่เป็นผลิตภัณฑ์สมุนไพรของคณะเภสัชศาสตร์ มหาวิทยาลัยอุบลราชธานี
2. เพื่อประชาสัมพันธ์หลักสูตรที่คณะเภสัชศาสตร์เปิดสอน
3. เพื่อให้ความรู้วิชาการทางเภสัชศาสตร์แก่ประชาชนในชุมชนและในเขตพื้นที่อีสานใต้ที่มาร่วมงาน
</t>
  </si>
  <si>
    <t xml:space="preserve">1) กลุ่มเกษตรกร กลุ่มแม่บ้าน นักเรียน นักศึกษา นักวิชาการและประชาชนทั่วไปได้รับความรู้ทางเภสัชศาสตร์
2) กลุ่มเกษตรกร กลุ่มแม่บ้าน นักเรียน นักศึกษา นักวิชาการ และประชาชนทั่วไป ได้รับทราบผลการดำเนินงานของคณะเภสัชศาสตร์
</t>
  </si>
  <si>
    <t xml:space="preserve">1. จำนวนกิจกรรมที่จัดขึ้นเพื่อเผยแพร่ผลงานของคณะเภสัชศาสตร์ อย่างน้อย 4 กิจกรรม
2. ผลการประเมินความพึงพอใจของผู้เข้าร่วมกิจกรรม ไม่น้อยกว่า 3.5 (คะแนนเต็ม 5)
</t>
  </si>
  <si>
    <t xml:space="preserve">1. อย่างน้อย 4 กิจกรรม
2. ไม่น้อยกว่า 3.5 (คะแนนเต็ม 5)
</t>
  </si>
  <si>
    <t xml:space="preserve">1.  กิจกรรม
2.  คะแนน 
</t>
  </si>
  <si>
    <t>25ตุลาคม –
5 พฤศจิกายน
2555</t>
  </si>
  <si>
    <t>กลุ่มวิชา
ชีวเภสัชศาสตร์</t>
  </si>
  <si>
    <t>1. การประชุมกลุ่มวิชาอย่างน้อยเดือนละ 1-2 ครั้ง
2. ผู้เข้าร่วมประชุมกลุ่มวิชา ไม่น้อยกว่าร้อยละ 80 ของอาจารย์กลุ่มวิชาที่ปฏิบัติงานต่อการประชุม 1  ครั้ง
3. มีรายงานการประชุมกลุ่มวิชาชีวเภสัชศาสตร์ อย่างน้อย 12 ฉบับ</t>
  </si>
  <si>
    <t xml:space="preserve">คณาจารย์ในกลุ่มวิชาทราบ
ข้อมูล ทิศทางและนโยบาย
ของคณะสามารถนำไปปฏิบัติ
ได้อย่างมีประสิทธิภาพ และ
เป็นไปในทิศทางเดียวกัน </t>
  </si>
  <si>
    <t>1. การประชุม
  อย่างน้อย12
  ครั้ง
2. ผู้เข้าร่วม
 ประชุมกลุ่ม
 วิชาไม่น้อย
 กว่าร้อยละ 
 80 ของ 
 อาจารย์กลุ่ม
 วิชาที่ปฏิบัติ 
 งานต่อการ 
 ประชุม 1 ครั้ง
3. มีรายงาน
  การประชุม
  12 ฉบับ</t>
  </si>
  <si>
    <t>1.  ครั้ง
2.  ร้อยละ 
3. ฉบับ</t>
  </si>
  <si>
    <t>ตุลาคม 2555 – กันยายน 2556</t>
  </si>
  <si>
    <t>1. เพื่อเป็นสื่อกลางของคณะที่สามารถให้ข้อมูลแก่คณาจารย์ได้อย่างทั่วถึง คณาจารย์จะได้รับทราบข้อมูล ทิศทางและนโยบายของคณะ สามารถนำไปพิจารณาปฏิบัติได้อย่างมีประสิทธิภาพและเป็นไปในทิศทางเดียวกัน</t>
  </si>
  <si>
    <t xml:space="preserve">คณาจารย์ในกลุ่มวิชา
ทราบข้อมูล ทิศทางและ
นโยบายของคณะ
สามารถนำไปปฏิบัติ
ได้อย่างมีประสิทธิภาพ 
และเป็นไปในทิศทาง
เดียวกัน </t>
  </si>
  <si>
    <t>12 ฉบับ</t>
  </si>
  <si>
    <t>ฉบับ</t>
  </si>
  <si>
    <t>ต.ค.55-ก.ย.2556</t>
  </si>
  <si>
    <t>1. เพื่อดำเนินการออกข้อสอบ จัดการสอบ และประเมินผลการสอบ
2. เพื่อวัดผลสัมฤทธิ์ในการเรียนของนักศึกษาตามหลักสูตรเภสัชศาสตรบัณฑิต
3. เพื่อเตรียมความพร้อมด้านความรู้และทักษะวิชาชีพเภสัชกรรมให้แก่นักศึกษา</t>
  </si>
  <si>
    <t>1.มีการจัดสอบและการประเมิน ผลสำเร็จตามวัตถุประสงค์ 
2.นักศึกษามีความพร้อมในการสอบความรู้ผู้ขอขึ้นทะเบียนเป็นผู้ประกอบวิชาชีพฯ สามารถสอบผ่านความรู้ผู้ขอขึ้นทะเบียนเป็นผู้ประกอบวิชาชีพฯ</t>
  </si>
  <si>
    <t xml:space="preserve">1.ร้อยละของนักศึกษาที่สอบผ่านการสอบประมวลความรอบรู้ในครั้งแรก
2. ร้อยละของข้อสอบที่อยู่ในระดับดี (มีความยากง่ายปานกลางและมีอำนาจการจำแนกดี)  </t>
  </si>
  <si>
    <t>1.ร้อยละ 80
2.ร้อยละ 60</t>
  </si>
  <si>
    <t xml:space="preserve">1. ร้อยละ 
2. ร้อยละ  </t>
  </si>
  <si>
    <t>เดือนตุลาคม2555- กันยายน2556</t>
  </si>
  <si>
    <t>1.คณาจารย์นักศึกษามีแหล่งค้นคว้าข้อมูลอย่างเพียงพอและเป็นปัจจุบัน
2. สนับสนุนการจัดการเรียนการสอนที่มีผู้เรียนเป็นศูนย์กลาง
3.เป็นแหล่งวิทยาการในการพัฒนาตน การฝึกการค้นคว้าข้อมูลของนักศึกษา</t>
  </si>
  <si>
    <t xml:space="preserve">1. จำนวนวัสดุ ตำรา หนังสือเพิ่มขึ้น
2. ระดับความ 
พึงพอใจของ 
ผู้ใช้บริการไม่ 
น้อยกว่า 3.51 </t>
  </si>
  <si>
    <t xml:space="preserve">1. จำนวน 
2. ระดับ </t>
  </si>
  <si>
    <t>เดือนธันวาคม 2555 - กันยายน 2556</t>
  </si>
  <si>
    <t>ยุทธศาสตร์ที่ 2 (2.8)</t>
  </si>
  <si>
    <t>1. ระดับความพึงพอใจของผู้เข้าร่วมโครงการ</t>
  </si>
  <si>
    <t>เดือนตุลาคม 2555- เดือนพฤษภาคม 2556</t>
  </si>
  <si>
    <t>1. เพื่อพัฒนาทักษะการเขียนบทความวิจัยแก่นักศึกษาระดับบัณฑิตศึกษา</t>
  </si>
  <si>
    <t>1. นักศึกษาระดับบัณฑิตศึกษามีทักษะด้านการเขียนบทความวิจัย/บทความวิชาการ</t>
  </si>
  <si>
    <t>1.ไม่ต่ำกว่า 3.51 (จากคะแนนเต็ม 5)</t>
  </si>
  <si>
    <t xml:space="preserve"> 1. ระดับ </t>
  </si>
  <si>
    <t>1. เพื่อพัฒนาให้เกิดหลักสูตรระดับปริญญาตรีในสาขาที่ตรงตามความต้องการของผู้เรียนและผู้ใช้บัณฑิต 
2. เพื่อพัฒนาให้เกิดหลักสูตรระดับบัณฑิตศึกษาในสาขาที่ตรงตามความต้องการของผู้เรียนและผู้ใช้บัณฑิต 
3. เพื่อพัฒนาให้เกิดหลักสูตรการฝึกอบรมระยะสั้นในด้านต่างๆ ที่เป็นประโยชน์และเพิ่มทักษะแก่เภสัชกรและผู้สนใจ</t>
  </si>
  <si>
    <t>1. มีหลักสูตรระดับปริญญาตรีที่เป็นไปตามความต้องการของผู้เรียนและผู้ใช้บัณฑิต
2. มีหลักสูตรระดับบัณฑิตศึกษาที่เป็นไปตามความต้องการของผู้เรียนและผู้ใช้บัณฑิต
3. มีหลักสูตรการฝึกอบรมระยะสั้นรูปแบบต่างๆ ที่เป็นประโยชน์ต่อเภสัชกรและผู้สนใจ</t>
  </si>
  <si>
    <t>1. จำนวนหลักสูตรใหม่ระดับปริญญาตรี บัณฑิต หรือการฝึกอบรมระยะสั้น</t>
  </si>
  <si>
    <t>1.  จำนวนอย่างน้อย 1 หลักสูตร</t>
  </si>
  <si>
    <t>จำนวนหลักสูตร</t>
  </si>
  <si>
    <t>1. เพื่อให้คณาจารย์มีความรู้ความเข้าใจที่ถูกต้องในกระบวนการจัดการเรียนการสอน
2. เพื่อให้คณาจารย์มีทักษะการสอน การวัดและประเมินผล และการจัดทำสื่อการสอนที่ถูกต้องเหมาะสม</t>
  </si>
  <si>
    <t>1. คณาจารย์มีความรู้ความเข้าใจที่ถูกต้องในกระบวนการจัดการเรียนการสอน
2. คณาจารย์มีทักษะการสอน การวัดและประเมินผล และการจัดทำสื่อการสอนที่ถูกต้องเหมาะสม</t>
  </si>
  <si>
    <t>1. ร้อยละของผู้เข้าร่วมการอบรม
2. จำนวนรายวิชาที่ได้คะแนนการประเมินการจัดการเรียนการสอนรายวิชา ในระดับคะแนนเฉลี่ย 3.51 (จากคะแนนเต็ม 5)</t>
  </si>
  <si>
    <t>1. ไม่ต่ำกว่าร้อยละ 80 ของจำนวนอาจารย์ทั้งหมด
2. ไม่น้อยกว่าร้อยละ 80 ของจำนวนรายวิชาทั้งหมด</t>
  </si>
  <si>
    <t>1. ร้อยละ
2. ร้อยละ</t>
  </si>
  <si>
    <t>เดือนตุลาคม 2555 - เดือนกันยายน 2556</t>
  </si>
  <si>
    <t>เพื่อให้การดำเนินงานตามแผนของคณะกรรมการด้านวิชาการของคณะเภสัชศาสตร์ สำหรับนักศึกษาทั้งระดับปริญญาตรีและระดับบัณฑิตศึกษา เป็นไปย่างมีประสิทธิภาพ</t>
  </si>
  <si>
    <t>1. มีการจัดการรับสมัครนักศึกษาการเปิดรายวิชาสำหรับการเรียนในแต่ละภาคการศึกษา การจัดตารางการเรียนการสอน การจัดตารางสอบ ในแต่ละภาคการศึกษาสำหรับนักศึกษาระดับ ป.ตรี และ ระดับ บัณฑิตศึกษาเป็นไปด้วยความเรียบร้อยและมีประสิทธิภาพ
2. มีการพิจารณาประเมินและรับรองผลการเรียนของนักศึกษาอย่างมีระบบและเป็นไปตามมาตรฐานการศึกษา
3. มีการดำเนินการและจัดทำเอกสารตามกรอบมาตราฐานคุณวุฒิระดับอุดมศึกษาแห่งชาติ
3. มีการดำเนินงานห้องเอกสารอ้างอิงอย่างมีประสิทธิภาพและมีการประชุมเพื่อคัดเลือกหนังสือหรือสื่อการสอนสำหรับนักศึกษาทุกระดับชั้น</t>
  </si>
  <si>
    <t>1. การะประชุมคณะกรรมการวิชาการ อย่างน้อย 4 ครั้ง/ต่อปีการศึกษา
2. การประชุมคณะกรรมการบัณฑิตศึกษา อย่างน้อย 2 ครั้งต่อปีการศึกษา
3. การประชุมคณะกรรมการประจำหลักสูตร จำนวน 5 หลักสูตร โดยแต่ละหลักสูตรจัดประชุม อย่างน้อย 2 ครั้งต่อปีการศึกษา
4. การประชุมคณะกรรมการห้องสมุดคณะเภสัชศาสตร์ อย่างน้อย 2 ครั้งต่อปีการศึกษา</t>
  </si>
  <si>
    <t>จำนวนครั้งในการประชุม</t>
  </si>
  <si>
    <t>ร้อละ</t>
  </si>
  <si>
    <t xml:space="preserve">1. เพื่อพัฒนาและเสริมสร้างคุณภาพในการจัดการเรียนการสอนของคณาจารย์ในกลุ่มวิชา 
2. เพื่อประชุมหารือและกำหนดแผนงานโครงการหรือกิจกรรมต่าง ๆ ของกลุ่มวิชา เพื่อให้บรรลุเป้าหมายของคณะฯ
3. เพื่อใช้เป็นสื่อกลางในการที่จะให้คณาจารย์ได้รับทราบข้อมูลและนโยบายของคณะ
4. เพื่อเสริมสร้างความสัมพันธ์อันดีระหว่างคณาจารย์ในกลุ่มวิชา </t>
  </si>
  <si>
    <t>1. เสริมสร้างความสัมพันธ์ระหว่างคณาจารย์ในกลุ่มวิชา 
2. ได้แผนงานและกิจกรรมที่เป็นรูปธรรมของกลุ่มวิชาจากการระดมความคิดเห็นของคณาจารย์ในกลุ่มวิชา</t>
  </si>
  <si>
    <t>จำนวนครั้งของการประชุมกลุ่มวิชา</t>
  </si>
  <si>
    <t>อย่างน้อย 12 ครั้ง (หรือ เฉลี่ย 1 ครั้ง/เดือน)</t>
  </si>
  <si>
    <t>ครั้ง</t>
  </si>
  <si>
    <t xml:space="preserve">1. เพื่อเสริมสร้างขวัญและกำลังใจแก่คณาจารย์ที่ออกปฏิบัติงานด้านการพัฒนาวิชาชีพ ณ แหล่งฝึก
2. เพื่อส่งเสริมการจัดการเรียนการสอนรายวิชาด้านคลินิกของคณาจารย์โดยเป็นการสอนในสถานการณ์จริง กับผู้ป่วยจริง 
3. เพื่อส่งเสริมให้เกิดความร่วมมือกันในการพัฒนาทางวิชาการและวิชาชีพอย่างเป็นรูปธรรมระหว่างคณาจารย์และเภสัชกรที่ทำงาน ณ แหล่งฝึก </t>
  </si>
  <si>
    <t xml:space="preserve">1. คณาจารย์มีขวัญและกำลังใจในการปฏิบัติงานด้านการพัฒนาวิชาชีพ ณ แหล่งฝึก เพิ่มมากขึ้น 
2. คณาจารย์มีทักษะในการบริบาลทางเภสัชกรรมเพิ่มมากขึ้น และมีความมั่นใจในการถ่ายทอดประสบการณ์การเรียนรู้ให้แก่นักศึกษา
3. เกิดการพัฒนาการจัดการเรียนการสอนรายวิชาด้านคลินิก โดยนักศึกษาจะได้เรียนรู้จากจากกรณีศึกษาผู้ป่วยจริง 
4. เสริมสร้างความสัมพันธ์อันดีระหว่างคณาจารย์ในกลุ่มวิชา และเภสัชกรที่ทำงาน ณ แหล่งฝึกปฏิบัติงานวิชาชีพ อันจะนำไปสู่ความร่วมมือกันในการพัฒนาทางวิชาการและวิชาชีพ </t>
  </si>
  <si>
    <t xml:space="preserve">1. จำนวนอาจารย์ที่ออกไปปฏิบัติงานพัฒนาวิชาชีพ ณ แหล่งฝึก
2.จำนวนงานบริบาลทางเภสัชกรรมที่เกิดขึ้นใหม่และได้รับการพัฒนา </t>
  </si>
  <si>
    <t xml:space="preserve">อย่างน้อย 5 คน
อย่างน้อย 1 งาน ต่อ 1 แหล่งฝึก
</t>
  </si>
  <si>
    <t>คน
งาน/กิจกรรม</t>
  </si>
  <si>
    <t>1.สร้างเครือข่ายความร่วมมืองานวิจัยระหว่างคณะเภสัชศาสตร์ 3 สถาบัน
2.ส่งเสริมการแลกเปลี่ยนประสบการณ์ในงานวิจัยระหว่างคณาจารย์ นักศึกษาและผู้สนใจทั่วไป
3.ส่งเสริมการนำเสนอผลงานวิจัยของนักศึกษา
4.กระตุ้นให้มีการสร้างผลงานวิจัยเผยแพร่และยกระดับคุณภาพงานวิจัย</t>
  </si>
  <si>
    <t>1.นักศึกษาทั้งระดับปริญญาตรีและบัณฑิตศึกษา คณาจารย์คณะเภสัชศาสตร์ ได้รับความรู้ทางการวิจัยด้านเภสัชศาสตร์และได้แลกเปลี่ยประสบการณ์ 
ในการทำวิจัยด้านเภสัชศาสตร์และสาขาวิชาที่เกี่ยวข้อง
2.มีเครือข่ายความร่วมมือด้านการวิจัยในสาขาเภสัชศาสตร์</t>
  </si>
  <si>
    <t>1.จำนวนผลงานวิจัยของนักศึกษาในระดับปริญญาตรีและระดับบัณฑิตศึกษา นักวิจัยที่ได้รับการเผยแพร่ไม่น้อกว่า 5 เรื่อง</t>
  </si>
  <si>
    <t>คณะเภสัชศาสตร์ มหาวิทยาลัยอุบลราชธานี มีผลงานด้านความร่วมมือกับคณะเภสัชศาสตร์ มหาวิทยาลัยขอนแก่น คณะเภสัชศาสตร์ มหาวิทยาลัยมหาสารคาม ในการส่งเสริมงานวิจัยผ่านทางวารสารวิชาการ อันจะส่งผลให้คณะเภสัชศาสตร์ทั้ง 3 สถาบันได้รับการยอมรับในมาตรฐานผลงานวิจัย    ในระดับชาติและนานาชาติ</t>
  </si>
  <si>
    <t>1. วารสารเภสัชศาสตร์อีสานปีที่ 9 จำนวน 3 ฉบับ/ปี</t>
  </si>
  <si>
    <t>ฉบับ/ปี</t>
  </si>
  <si>
    <t>เพื่อส่งเสริมให้คณาจารย์มีผลงานวิจัยตีพิมพ์และเผยแพร่ในงานประชุมวิชาการ</t>
  </si>
  <si>
    <t>คณะเภสัชศาสตร์มีจำนวนผลงานวิจัยเผยแพร่เป็นจำนวนที่มากขึ้น ส่งผลให้ได้รับการยอมรับในมาตรฐานผลงานวิจัยในระดับชาติและนานาชาติ</t>
  </si>
  <si>
    <t>1.มีอาจารย์ไปนำเสนอผลงานทางวิชาการ ไม่น้อยกว่าปีละ 4 คน
2.มีผลงานวิจัยตีพิมพ์และ proceeding ที่เป็นผลงานของอาจารย์ในคณะฯ ไม่ต่ำกว่าปีการศึกษาละ 5 เรื่อง</t>
  </si>
  <si>
    <t>4
5</t>
  </si>
  <si>
    <t>คน
เรื่อง</t>
  </si>
  <si>
    <t>เพื่อพัฒนาระบบงานวิจัยคณะเภสัชศาสตร์</t>
  </si>
  <si>
    <t>คณะเภสัชศาสตร์มีการพัฒนาและติดตามงานวิจัยอย่างเป็นระบบ</t>
  </si>
  <si>
    <t>มีการประชุมคณะกรรมการพัฒนาระบบงานวิจัย ไม่น้อยกว่า 3 ครั้งต่อปี</t>
  </si>
  <si>
    <t xml:space="preserve">1.  จำนวนผู้บริหารที่เข้าร่วมประชุมเฉลี่ยไม่น้อยกว่าร้อยละ 80
2. มีการประชุมไม่น้อยกว่า 12 ครั้งต่อปี
</t>
  </si>
  <si>
    <t xml:space="preserve">1.  เฉลี่ยไม่น้อยกว่าร้อยละ 80
2. มีการประชุมไม่น้อยกว่า 12 ครั้งต่อปี
</t>
  </si>
  <si>
    <t xml:space="preserve">1.  ร้อยละ
2. ครั้งต่อปี
</t>
  </si>
  <si>
    <t xml:space="preserve">1.เพื่อศึกษาฤทธิ์ป้องกันเซลล์สมอง SK-N-SH การถูกชักนำโดยสภาวะ oxidative stress และสภาวะที่เป็นอัตรายต่อเซลล์อื่นๆ
2.เพื่อศึกษาฤทธิ์ยับยั้งการเพิ่มจำนวนเซลล์และกลไกการตายของเซลล์ ผ่านกระบวนการ apoptosis และการทำลายดีเอ็นเอ </t>
  </si>
  <si>
    <t>1.สร้างองค์ความรู้ใหม่จากภูมิปัญญาท้องถิ่น โดยยืนยันฤทธิ์ยับยั้งเซลล์เนื้องอกสมองของสารสำคัญที่พบในใบพลูด้วยวิธีทางวิทยาศาสตร์
2.เผยแพร่ผลการวิจัยซึ่งเป็นองค์ความรู้ใหม่สู่สาธารณชน ในวารสารทางวิชาการระดับชาติ/ระดับนานาชาติ เพื่อเป็นพื้นฐานสู่การนำไปพัฒนาวิจัยยาใหม่จากสมุนไพร</t>
  </si>
  <si>
    <t>รายงานผลการดำเนินงาน</t>
  </si>
  <si>
    <t>เล่ม</t>
  </si>
  <si>
    <t>1.ทิศทางการวิจัย 4 การเสริมสร้างสุขภาวะและสิ่งแวดล้อมที่น่าอยู่
2.แผนวิจัยที่ 1 สมุนไพร แผนงานวิจัยที่ 1.1 การวิจัยและพัฒนาสมุนไพรเพื่อประโยชน์ทางการแพทย์และสาธารณสุข</t>
  </si>
  <si>
    <t>1. เพื่อให้บริการทางเภสัชกรรมแก่ผู้ป่วยที่มารับบริการ ณ โรงพยาบาล สถานพยาบาล โดยคณาจารย์คณะเภสัชศาสตร์
2. เพื่อให้เกิดการประสานความร่วมมือทางด้านวิชาการและวิชาชีพระหว่างคณะเภสัชศาสตร์และแหล่งฝึกปฏิบัติวิชาชีพของนักศึกษา</t>
  </si>
  <si>
    <t>1. ผู้ป่วยได้รับการดูแลด้านยาจากคณาจารย์และเภสัชกรที่เข้าร่วมโครงการ ทำให้เกิดความปลอดภัยในการใช้ยาและได้รับประโยชน์สูงสุดจากการรักษาด้วยยา 
2. คณะเภสัชศาสตร์ และหน่วยงานด้านสาธารณสุข มีสัมพันธภาพที่ดีต่อกัน ก่อให้เกิดการแลกเปลี่ยนประสบการณ์ด้านวิชาการระหว่างบุคลากรสาธารณสุข และเกิดความร่วมมือกันในด้านต่างๆ ทั้งด้านวิชาการ วิชาชีพ และงานวิจัย</t>
  </si>
  <si>
    <t xml:space="preserve">1. จำนวนผู้ป่วยที่ได้รับการบริบาลทางเภสัชกรรม
2. ความพึงพอใจของผู้รับบริการ
3. ความพึงพอใจของเภสัชกรและบุคลากรทางการแพทย์  
4. ระยะเวลาในการดำเนินงาน  </t>
  </si>
  <si>
    <t>200
80
80
8</t>
  </si>
  <si>
    <t xml:space="preserve">1. คน
2. ร้อยละ
3. ร้อยละ
4. เดือน
</t>
  </si>
  <si>
    <t>มาตรการที่ 4 ส่งเสริมและสนับสนุนการสร้างเสริมสุขภาวะและบริการสุขภาพเพื่อยกระดับคุณภาพชีวิตชุมชน</t>
  </si>
  <si>
    <t>1. เพื่อให้ความรู้แก่บุคลากรทางสาธารณสุขในด้านการคัดกรอง การใช้ยาและผลข้างเคียงของยาทางจิตเวท 
2. เพื่อให้ประชาชนมีความรู้ และการปฏิบัติตัวที่ถูกต้องในการป้องกัน รักษา ฟื้นฟูสุขภาพจิต 
3. เพื่อสร้างเครือข่ายบุคลากรสาธารณสุขในการดูแลรักษาประชาชนที่มีปัญหาด้านสุขภาพจิตหลังภาวะวิกฤติอุทกภัย</t>
  </si>
  <si>
    <t xml:space="preserve">เภสัชกร และบุคลากรทางสาธารณสุขได้รับความรู้ใหม่ๆ เพื่อนำไปประยุกต์ใช้ในการคัดกรอง การดูแลรักษาประชาชน ทำให้ประชาชนมีสุขภาพกายและสุขภาพจิตที่ดี </t>
  </si>
  <si>
    <t xml:space="preserve">1. จำนวนผู้ร่วมโครงการ
2. ความพึงพอใจของผู้ร่วมโครงการ
3. ผู้ร่วมโครงการที่นำความรู้ไปใช้ประโยชน์
</t>
  </si>
  <si>
    <t>คน
ร้อยละ
ร้อยละ</t>
  </si>
  <si>
    <t xml:space="preserve">1. 100-120
2. 80
3. 80
</t>
  </si>
  <si>
    <t>1. เพื่อให้บริการตรวจวิเคราะห์คุณภาพน้ำดื่ม น้ำดิบ และน้ำแข็ง แก่ผู้ประกอบการผลิต และหน่วยงานอื่นๆทั้งภาครัฐและเอกชน
2. เพื่อให้คำแนะนำแก่ผู้ประกอบการในการผลิตน้ำดื่มและน้ำแข็งที่ได้มาตรฐาน เป็นการคุ้มครองความปลอดภัยให้แก้ผู้บริโภคและเป็นการให้บริการทางวิชาการแก่ชุมชนของคณะเภสัชศาสตร์ มหาวิทยาลัยอุบลราชธานี</t>
  </si>
  <si>
    <t>1. เพื่อผู้ประกอบการผลิตน้ำดื่มและน้ำแข็งได้อย่างมีคุณภาพตามที่มาตรฐานกำหนด    
2.ผู้ประกอบการได้รับความรู้และคำแนะนำเพื่อใช้เป็นแนวทางในการแก้ปัญหาการผลิตน้ำดื่มและน้ำแข็งที่ได้มาตรฐาน
3. ประชาชนมีความปลอดภัยและมั่นใจในการบริโภคน้ำดื่มและน้ำแข็งที่มีขายในท้องตลาด
4. มีการประสานความร่วมมืออันดีระหว่างคณะเภสัชศาสตร์  กับสำนัก
งานสาธารณสุขจังหวัดอุบลราชธานีและสำนัก งานสารธารณสุขในพื้นที่ใกล้เคียง ซึ่งเป็นหน่วยงานที่มีหน้าที่ดูแลและคุ้มครองผู้บริโภคโดยตรง</t>
  </si>
  <si>
    <t>1. รายได้จากการวิเคราะห์ไม่น้อยกว่า 700,000 บาท
2. จำนวนตังอย่างที่สังเคราะห์มากว่า 230 ตัวอย่าง
3. ผ่านการรับประเมิน ระบบ ISO 17025 ต่อ 3 พารามิเตอร์</t>
  </si>
  <si>
    <t>ตั้งแต่ 1 ตุลาคม 2550 เป็นต้นไป</t>
  </si>
  <si>
    <t>ยุทธศาสตร์ที่ 4</t>
  </si>
  <si>
    <t>1.เพื่อวิจัยพัฒนาตำรับยา ขึ้นทะเบียนตำรับยา ผลิต ออกแบบบรรจุภัณฑ์ควบคุมคุณภาพมาตรฐานเภสัชภัณฑ์และจัดทำมาตรฐานยาแผนโบราณและผลิตภัณฑ์สมุนไพร
2.เพื่อเพิ่มโอกาสการเข้าถึงยาแผนโบราณและผลิตภัณฑ์สมุนไพรที่มีคุณภาพและปลอดภัยแก่ประชาชนในเขตภูมิภาคอีสานตอนล่างและอนุภาคลุ่มน้ำโขง
3.เพื่อจำหน่ายยาแผนโบราณและผลิตภัณฑ์สมุนไพรในเขตอีสานตอนล่างและสร้างรายได้ให้แก่หน่วยงานและมหาวิทยาลัยให้มีเงินทุนสำหรับพึ่งพาตัวเองได้
4. เพื่อเป็นโรงงานต้นแบบสำหรับนิสิต นักศึกษา ผู้ประกอบการที่สนใจได้ฝึกการผลิต การขึ้นทะเบียนและควบคุมคุณภาพมาตรฐานยาแผนโบราณและผลิตภัณฑ์สมุนไพร
5. เพื่อเป็นแหล่งบริการวิชาการให้ความรู้ด้านยาแผนโบราณ ผลิตภัณฑ์สมุนไพร ตลอดจนการให้คำปรึกษาแนะนำหลักเกณฑ์ที่ดีในการผลิตแก่หน่วยงานที่มีการผลิตทั้งภาครัฐและเอกชน</t>
  </si>
  <si>
    <t>1. ตำรับาแผนโบราณ 
1.1 ตำรับยาผสมที่พัฒนาขึ้น 1 ตำรับ
1.2 ตำรับยาผสมที่ขึ้นทะเบียน 7 ตำรับ
1.3 ตำรับยาที่จำหน่าย 7 ตำรับ
2.จำนวนลูกค้า/ร้านยา/โรงพยาบาล 10 แห่ง</t>
  </si>
  <si>
    <t>1.จำนวนตำรับยาแผนโบราณที่ได้รับการพัฒนา ขอขึ้นทะเบียนและผลิตภัณฑ์เพื่อจำหน่าย
2. จำนวนตำรับผลิตภัณฑ์สมุนไพรที่รับการวิจัยพัฒนาและผลิตเพื่อจำหน่าย
3. รายได้ต่อปีของผลิตภัณฑ์เพื่อจำหน่าย
4. จำนวนนิสิตนักศึกษาที่เข้ารับการฝึกงานในหน่วย</t>
  </si>
  <si>
    <t>ยุทธาสตรที่ 4</t>
  </si>
  <si>
    <t>เพื่อการสร้างเสริมสุขภาพอย่างต่อเนื่องเพื่อสร้างเภสัชกร ที่ตระหนักการสร้างเสริมสุขภาพเ และเน้นความร่วมมือกับแหล่งฝึกปฏิบัติงานวิชาชีพต่างๆ ในการพัฒนาแหล่งฝึกต้นแบบ รวมถึงการเสริมสร้างความเข้มแข็งของชุมชนอย่างมีส่วนร่วม ทั้งชุมชนภาพในมหาวิทยาลัยและภายนอกมหาวิทยาลัย ให้เกิดชุมชนต้นแบบที่ให้ความสำคัญ และพึ่งตนเองในเรื่องการสร้างเสริมหรือดูแลสุขภาพได้</t>
  </si>
  <si>
    <t>1.เสริมสร้างความเข้มแข็งของชุมชน โดยเน้นการะบวนพัฒนาพัฒนาอย่างมีส่วนร่วม และขับเคลื่อนนโยบายเพื่อให้เกิดสุขภาพดีโดยไม่ใช้ยา และใช้ยาอย่างเหมาะสม
2. พัฒนาแหล่งฝึกปฏิบัติงานสร้างเสริมสุขภาพต้นแบบ
3. ขยายเครือข่าย จัดการความรู้ และประชาสัมพันธ์แผนงานสู่สังคม</t>
  </si>
  <si>
    <t>เพื่อรองรับการบริจาคเงินสมทบการดำเนินงานตามภารกิจของคณะเภสัชศาสตร์</t>
  </si>
  <si>
    <t>มีเงินบริจาคสมทบการดำเนินงานของคณะเภสัชศาสตร์</t>
  </si>
  <si>
    <t>จำนวนเงินที่บริจาค</t>
  </si>
  <si>
    <t>ไม่น้อยกว่า 100,000 บาท/ปี</t>
  </si>
  <si>
    <t>บาท</t>
  </si>
  <si>
    <t>เพื่อรองรับการดำเนินงานตามภารกิจของคณะเภสัชศาสตร์ก่อให้เกิดเงินผลประโยชน์เพื่อมาสมทบกับงบประมาณเงินรายได้</t>
  </si>
  <si>
    <t>มีเงินผลประโยชน์จากการดำเนินงาน</t>
  </si>
  <si>
    <t>จำนวนเงินผลประโยชน์จากการดำเนินงาน</t>
  </si>
  <si>
    <t>ไม่น้อยกว่า 80,000 บาท/ปี</t>
  </si>
  <si>
    <t>กลยุทธ์ที่ 1  (มาตรการที่ 1.6)</t>
  </si>
  <si>
    <t>เพื่อดำเนินการซ่อมแซมห้องเรียน และห้องปฏิบัติการ เพื่อให้มีความพร้อมในการรองรับการจัดการเรียนการสอนทางเภสัชศาสตร์</t>
  </si>
  <si>
    <t>อาคารและภูมิทัศน์ของคณะเภสัชศาสตร์ได้รับการปรับปรุงซ่อมแซมอย่างเหมาะสม</t>
  </si>
  <si>
    <t>ร้อยละของรายการชำรุดเสียหายที่ที่ได้รับการซ่อมแซมให้รองรับการใช้งาน</t>
  </si>
  <si>
    <t>เพื่อจัดหาครุภัณฑ์ที่มีความเป็นในการใช้ในการจัดการเรียนการสอนทางเภสัชศาสตร์</t>
  </si>
  <si>
    <t>มีครุภัณฑ์รองรับการดำเนินงานตามภารกิจหลักของคณะเภสัชศาสตร์</t>
  </si>
  <si>
    <t>จำนวนครุภัณฑ์ที่ดำเนินการจัดซื้อได้ต่อจำนวนครุภัณฑ์ได้รับจัดสรรงบประมาณ</t>
  </si>
  <si>
    <t>เพื่อส่งเสริมให้อาจารย์และบุคลากรได้รับการพัฒนาศักยภาพในระดับที่สูงขึ้น พร้อมรองรับการปฏิบัติงานตามภารกิจหลักของคณะเภสัชศาสตร์ได้ตามเกณฑ์มาตรฐานคุณภาพที่กำหนด</t>
  </si>
  <si>
    <t xml:space="preserve">จำนวนบุคลากรที่ได้รับการพัฒนา </t>
  </si>
  <si>
    <t xml:space="preserve">จำนวนทุนสนับสนุนการพัฒนาบุคลากร </t>
  </si>
  <si>
    <t>ทุน</t>
  </si>
  <si>
    <t>เพื่อส่งเสริมให้คณาจารย์มีศักยภาพในการทำงานวิจัยเพื่อเผยแพร่ผลงานวิจัยในอนาคต</t>
  </si>
  <si>
    <t>คณะเภสัชศาสตร์ มหาวิทยาลัยอุบลราชธานี มีผลงานด้านการวิจัยจากนักวิจัยหน้าใหม่ ซึ่งเป็นบุคลากรที่สำคัญของคณะในอนาคต</t>
  </si>
  <si>
    <t>มีอาจารย์ที่ได้รับทุนสนับสนุนวิจัย อย่างน้อย 1 คน</t>
  </si>
  <si>
    <t>รายละเอียดงบประมาณโครงการในแผนปฏิบัติการคณะเภสัชศาสตร์ ประจำปีงบประมาณ 2557</t>
  </si>
  <si>
    <r>
      <t>1.</t>
    </r>
    <r>
      <rPr>
        <sz val="13"/>
        <color rgb="FFFF0000"/>
        <rFont val="Times New Roman"/>
        <family val="1"/>
      </rPr>
      <t> </t>
    </r>
    <r>
      <rPr>
        <sz val="13"/>
        <color rgb="FFFF0000"/>
        <rFont val="TH SarabunPSK"/>
        <family val="2"/>
      </rPr>
      <t>มีการประชุมกลุ่มวิชาอย่างน้อยเดือนละ 1 ครั้ง</t>
    </r>
  </si>
  <si>
    <t xml:space="preserve"> - หมวดเงินเดือนและค่าจ้าง
   ประจำ</t>
  </si>
  <si>
    <t>ผลการเบิกจ่ายไตรมาสที่ 1 (ต.ค.56-ธ.ค.56)</t>
  </si>
  <si>
    <t>ผลการเบิกจ่ายไตรมาสที่ 2 (ต.ค.53-มี.ค.57)</t>
  </si>
  <si>
    <t>ผลการเบิกจ่ายไตรมาสที่ 3 (ต.ค.56-มิ.ย.57)</t>
  </si>
  <si>
    <t>ผลการเบิกจ่ายไตรมาสที่ 4 (ต.ค.56-ก.ย.57)</t>
  </si>
  <si>
    <t xml:space="preserve"> - หมวดค่าตอบแทน ใช้สอย
   และวัสดุ</t>
  </si>
  <si>
    <t>2) ค่าตอบแทนกำลังคน
    สาธารณสุข (พตส.)</t>
  </si>
  <si>
    <t>เพื่อให้คณาจารย์ได้ร่วมทบทวน จัดทำข้อเสนอและยุทธศาสตร์สำหรับการพัฒนาเภสัชศาสตร์ศึกษา เนื่องในโอกาสวิชาชีพเภสัชกรรมไทย ครบรอบ 100 ร่วมกับสถาบันการศึกษาเภสัชศาสตร์อื่นๆ เพื่อให้มีความสอดคล้องและตอบ สนองต่อปัจจัยทั้งภายในและภายนอกวิชาชีพ</t>
  </si>
  <si>
    <t>(2) โครงการพัฒนา
    ประสิทธิภาพการ
    ดำเนินการด้านประกัน
    คุณภาพการศึกษา</t>
  </si>
  <si>
    <t>(3) โครงการพัฒนา
    ศักยภาพอาจารย์ด้าน
    การเรียนการสอน
    เพื่อมุ่งสู่การเป็นคณะ
    เภสัชศาสตร์ชั้นนำใน
    อาเซียน</t>
  </si>
  <si>
    <t>(4) โครงการสนับสนุนการ
    ตรวจกระดาษคำตอบ
    ด้วยระบบคอมพิวเตอร์</t>
  </si>
  <si>
    <t>งานวิชาการ/งานการเงิน</t>
  </si>
  <si>
    <t xml:space="preserve"> - โครงการสนับสนุนทุนการ
   ศึกษาแก่นักศึกษา</t>
  </si>
  <si>
    <t xml:space="preserve"> - โครงการรณรงค์วินัยและการ
   แต่งกายนักศึกษา</t>
  </si>
  <si>
    <t xml:space="preserve"> - ค่าตอบแทนการฝึก
   ปฏิบัติงานทั่วไป</t>
  </si>
  <si>
    <t xml:space="preserve"> - ค่าตอบแทนการฝึก
   ปฏิบัติงานเฉพาะทาง</t>
  </si>
  <si>
    <t>3) ค่าใช้สอย</t>
  </si>
  <si>
    <t xml:space="preserve"> - ค่าใช้จ่ายในการเดินทาง
   นิเทศงานการฝึก
   ปฏิบัติงานทั่วไป</t>
  </si>
  <si>
    <t xml:space="preserve"> - ค่าใช้จ่ายในการเดินทาง
   นิเทศงานการฝึก
   ปฏิบัติงานเฉพาะทาง</t>
  </si>
  <si>
    <t xml:space="preserve"> - ค่าใช้สอยโครงการย่อย
   เพื่อโครงการเตรียม
   ความพร้อมของนักศึกษา
   ด้านการฝึกปฏิบัติงาน
   วิชาชีพ :</t>
  </si>
  <si>
    <t>3.1  โครงการมัชฌิมนิเทศ
     พัฒนาศักยภาพ
     นักศึกษาสู่วิชาชีพ
     นักศึกษาเภสัชศาสตร์ 
     คณะเภสัชศาสตร์</t>
  </si>
  <si>
    <t xml:space="preserve">3.2 โครงการเตรียมความ
     พร้อมเพื่อการฝึก
     ปฏิบัติงานวิชาชีพด้าน
     เภสัชภัณฑ์และการ
     ควบคุมคุณภาพ และ
     ทำความร่วมมือกับ
     แหล่งฝึก 
     (ประกอบด้วยกิจกรรม
     ย่อย แสวงหาแหล่งฝึก 
     เพื่อทำความร่วมมือ) </t>
  </si>
  <si>
    <t>3.5 โครงการเตรียมความ
     พร้อมนักศึกษาก่อน
     ออกฝึกปฏิบัติงาน
     วิชาชีพเฉพาะทาง</t>
  </si>
  <si>
    <t>3.3 โครงการดำเนินงาน
     สารนิพนธ์ของนักศึกษา
     เภสัชศาสตร์ ประจำปี
     งบประมาณ 2556</t>
  </si>
  <si>
    <t>3.4 โครงการเตรียมความ
     พร้อมนักศึกษาก่อน
     ออกฝึกปฏิบัติงาน
     วิชาชีพทั่วไป</t>
  </si>
  <si>
    <t>3.6 โครงการเตรียมแหล่งฝึก
     ปฏิบัติงานวิชาชีพด้าน
     เภสัชชุมชน (ร้านยา)</t>
  </si>
  <si>
    <t>3.7 โครงการเตรียมความ
     พร้อมนักศึกษาเพื่อทำ
     แผนงานการตลาด</t>
  </si>
  <si>
    <t>3.8 โครงการอบรมเสวนา
     สำหรับแหล่งฝึก
     ปฏิบัติงาน</t>
  </si>
  <si>
    <t xml:space="preserve">3.9 โครงการความร่วมมือ
    กับแหล่งฝึกปฏิบัติงาน
</t>
  </si>
  <si>
    <t xml:space="preserve">3.10 โครงการจัดอบรม
     เภสัชศาสตร์ศึกษา
     สำหรับเภสัชกรแหล่ง
     ฝึกปฏิบัติงานบริบาล
     เภสัชกรรม </t>
  </si>
  <si>
    <t xml:space="preserve">3.11 โครงการพัฒนา
    อาจารย์เพื่อเพิ่มพูน
    ทักษะและประสบการณ์
    ด้านวิชาชีพเฉพาะทาง 
    เช่น การบริบาล
    เภสัชกรรม การผลิตยา   </t>
  </si>
  <si>
    <t xml:space="preserve">3.16 โครงการพัฒนาห้อง
     เอกสารอ้างอิงทาง
     เภสัชศาสตร์ </t>
  </si>
  <si>
    <t>กลุ่มวิชาเภสัชเคมีและเทคโนโลยี
เภสัชกรรม</t>
  </si>
  <si>
    <t>3.17 โครงการศึกษาพรรณ
      ไม้นอกสถานที่</t>
  </si>
  <si>
    <t>1. เพื่อให้คณาจารย์ได้มีโอกาสพัฒนาองค์ความรู้ด้านการเรียน การสอน และการวิจัย เพื่อให้ก้าวทันวิทยาการใหม่ๆ
2. เพื่อให้บุคลากรสายสนับสนุนได้มีโอกาสเพิ่มพูนความรู้ ความเข้าใจ และได้แนวคิดที่เป็นประโยชน์ในการนำมาวางแผนปรับปรุงพัฒนางานในหน้าที่ที่รับผิดชอบได้</t>
  </si>
  <si>
    <t xml:space="preserve">โครงการจ้างเหมาทำความสะอาดคณะ
เภสัชศาสตร์  </t>
  </si>
  <si>
    <t xml:space="preserve"> - หมวดค่าใช้สอย</t>
  </si>
  <si>
    <t xml:space="preserve"> - หมวดค่าวัสดุ</t>
  </si>
  <si>
    <t xml:space="preserve"> - หมวดอุดหนุนค่าจ้างพนักงาน</t>
  </si>
  <si>
    <t>(1) โครงการจัดหา
    คอมพิวเตอร์และอุปกรณ์
    สื่อโสตทัศนูปกรณ์เพื่อ
    รองรับการเรียนการสอน</t>
  </si>
  <si>
    <t xml:space="preserve"> - เครื่องคอมพิวเตอร์
   แบบพกพา (4 เครื่องๆ
   ละ 200,00บาท) รวม
   เป็นเงิน 80,000 บาท</t>
  </si>
  <si>
    <t xml:space="preserve"> - เครื่องฉายภาพ3มิติ 
   จำนวน  2 เครื่องๆละ 
   20,000 ) รวมเป็นเงิน 
   40,000 บาท</t>
  </si>
  <si>
    <t xml:space="preserve"> - ชุดคอมพิวเตอร์ตั้งโต๊ะ 
   จำนวน 2 เครื่อง รวม
   เป็นเงิน 50,000 บาท</t>
  </si>
  <si>
    <t xml:space="preserve"> (2) โครงการจัดหาเครื่องพิมพ์
     ผลเพื่อรองรับการบริหาร
     จัดการเอกสารภายใต้
     โครงการผลิตบัณฑิตระดับ
     บัณฑิตศึกษา</t>
  </si>
  <si>
    <t xml:space="preserve"> - เครื่องพิพม์ผลเลเซอร์
   จำนวน 1 เครื่อง รวม
   เป็นเงิน 30.,000 บาท</t>
  </si>
  <si>
    <t xml:space="preserve"> (3) โครงการจัดหาครุภัณฑ์
     รองรับการบริหารจัดการ
     ภายใต้โครงการผลิต
     บัณฑิตระดับบัณฑิตศึกษา</t>
  </si>
  <si>
    <t xml:space="preserve"> - ชุดโต๊ะทำงาน จำนวน 
   5 ชุดๆละ 12,000บาท
   รวมเป็นเงิน 60,000 
   บาท</t>
  </si>
  <si>
    <t xml:space="preserve"> - เครื่องปรับอากาศ 
   35000BTU (2เครี่อง
   เครื่องละ 50,000บาท) 
   รวมเป็นเงิน 100,000 
   บาท</t>
  </si>
  <si>
    <t>6.1 โครงการพัฒนาหลักสูตร
    ระดับปริญญาตรี บัณฑิต
    ศึกษาและหลักสูตรอบรม
    ระยะสั้น</t>
  </si>
  <si>
    <t>6.2 โครงการสานสัมพันธ์
    หลักสูตรวิทยาศาสตร
    มหาบัณฑิต สาขาวิชาการ
    บริหารบริการสุขภาพ</t>
  </si>
  <si>
    <t>6.3 โครงการพัฒนาทักษะ
    ด้านการเขียนบทความ
    วิชาการแก่นักศึกษาระดับ
    บัณฑิตศึกษา</t>
  </si>
  <si>
    <t xml:space="preserve">6.4 โครงการประชาสัมพันธ์
    หลักสูตร </t>
  </si>
  <si>
    <t>7.1 โครงการเงินกองทุน
    ส่งเสริมและพัฒนาการ
    ผลิตบัณฑิต</t>
  </si>
  <si>
    <t>7.2 โครงการกองทุนเพื่อ
    เพิ่มประสิทธิภาพการ
    เรียนการสอน การวิจัย 
    บริการวิชาการ ทำนุ
    บำรุงศิลปวัฒนธรรม</t>
  </si>
  <si>
    <t xml:space="preserve"> - หมวดเงินอุดหนุนทั่วไป
   ประกอบด้วย</t>
  </si>
  <si>
    <t xml:space="preserve">(1) โครงการปฐมนิเทศและ
    อบรมให้ความรู้ด้าน
    จรรยาบรรณวิชาชีพแก่
    คณาจารย์ </t>
  </si>
  <si>
    <t xml:space="preserve">(2) โครงการเชิดชูเกียรติ
    อาจารย์และบุคลากรและ
    งานบริการดีเด่น </t>
  </si>
  <si>
    <t>(3) โครงการส่งเสริมการเข้าสู่
   ตำแหน่งทางวิชาการของ
   อาจารย์คณะเภสัชศาสตร์</t>
  </si>
  <si>
    <t xml:space="preserve">(4) โครงการติดตามและ
    ประเมินผลการดำเนินงาน
    ตามแผน  </t>
  </si>
  <si>
    <t xml:space="preserve">(5) โครงการพัฒนาศักยภาพ
    ผู้บริหาร  </t>
  </si>
  <si>
    <t xml:space="preserve">(7) โครงการเวทีการมีส่วนร่วม
    ของคณาจารย์และบุคลากร
    คณะเภสัชศาสตร์ </t>
  </si>
  <si>
    <t>(8) โครงการพัฒนาระบบการ
    บริหารความเสี่ยงและการ
    ควบคุมภายใน</t>
  </si>
  <si>
    <t>(13) โครงการพัฒนาและ
    เสริมสร้างศักยภาพการ
    ทำงานเป็นทีมของบุคลากร
    สายสนับสนุน</t>
  </si>
  <si>
    <t xml:space="preserve">(14) โครงการพัฒนาระบบ
    บริหารทรัพยากรบุคคล  </t>
  </si>
  <si>
    <t xml:space="preserve">1.เพื่อให้บุคลากรสำนักงานมี
  การแลกเปลี่ยนความรู้ทักษะ
  ที่เป็นประโยชน์ต่อการ
  ปฏิบัติงาน 
2.เพื่อสร้างเจตคติที่ดี ฝึกการ
  ทำงานเป็นทีม </t>
  </si>
  <si>
    <t xml:space="preserve">(17) โครงการรับรองแขก
    คณะเภสัชศาสตร์ </t>
  </si>
  <si>
    <t>(19) โครงการตรวจสุขภาพ
    ประจำปีบุคลากร</t>
  </si>
  <si>
    <t xml:space="preserve">(21) โครงการประชาสัมพันธ์
    คณะเภสัชศาสตร์เชิงรุก   </t>
  </si>
  <si>
    <t xml:space="preserve">(22) โครงการจัดการความรู้ 
    คณะเภสัชศาสตร์  </t>
  </si>
  <si>
    <t>(23) โครงการพัฒนาบุคลากร
    ด้านเทคโนโลยีสารสนเทศ</t>
  </si>
  <si>
    <t xml:space="preserve">(24) โครงการพัฒนาและ
    เสริมสร้างคุณภาพการ
    สอนสำหรับกลุ่มวิชา
    ชีวเภสัชศาสตร์ </t>
  </si>
  <si>
    <t xml:space="preserve">(26) โครงการพัฒนาและ
    เสริมสร้างคุณภาพการสอน
    สำหรับอาจารย์กลุ่มวิชา
    เภสัชกรรมปฏิบัติ  </t>
  </si>
  <si>
    <t>(27) โครงการพัฒนาและ
    เสริมสร้างศักยภาพการ
    ทำงานเป็นทีมสำหรับ
    คณะกรรมการงานกิจการ
    นักศึกษา</t>
  </si>
  <si>
    <t xml:space="preserve">(28) โครงการออกข้อสอบ
     ประมวลและข้อสอบสภา
     เภสัชกรรม </t>
  </si>
  <si>
    <t>(35) โครงการจัดนิทรรศการ
    ทางเภสัชศาสตร์ในงาน
    เกษตรอีสานใต้</t>
  </si>
  <si>
    <t>(36) โครงการการตอบแทน
    การปฏิบัติงานวิชาชีพ
    ประจำแหล่งฝึกปฏิบัติงาน
    วิชาชีพ</t>
  </si>
  <si>
    <t xml:space="preserve">(39) โครงการพัฒนาระบบ
    บริหารงานวิจัย </t>
  </si>
  <si>
    <t>(42) โครงการงานวิจัยที่มี
     การบูรณาการกับการ
     เรียนการสอน
     (ไม่ใช้งบประมาณ)</t>
  </si>
  <si>
    <t>(46) โครงการความร่วมมือ
    งานวิจัยกับเครือข่ายทั้งใน
    ประเทศและต่างประเทศ</t>
  </si>
  <si>
    <r>
      <t xml:space="preserve">โครงการรองรับความจำเป็นเร่งด่วนในการพัฒนาคณะเภสัชศาสตร์ </t>
    </r>
    <r>
      <rPr>
        <sz val="16"/>
        <rFont val="TH SarabunPSK"/>
        <family val="2"/>
      </rPr>
      <t>(เสนอขออนุมัติสภามหาวิทยาลัยเพื่อใช้เงินเหลือจ่ายสะสม)</t>
    </r>
  </si>
  <si>
    <t>เพื่อซ่อมแซมครุภัณฑ์ประจำอาคารคณะเภสัชศาสตร์ให้อยู่ในสภาพใช้งานได้ สำหรับรองรับการดำเนินงานตามภารกิจหลักของหน่วยงาน</t>
  </si>
  <si>
    <t>ครุภัณฑ์สนับสนุนการดำเนินงานตามภารกิจหลักต่างๆ อยู่ในสภาพใช้งาน</t>
  </si>
  <si>
    <t>ครุภัณฑ์และเครื่องมือที่สนับสนุนการดำเนินงานตามภารกิจหลักต่างๆของคณะฯ อยู่ในสภาพที่สามารถรองรับการดำเนินงานตามภารกิจหลักได้อย่างครอบคลุม</t>
  </si>
  <si>
    <t xml:space="preserve">(2) โครงการปรับปรุงอาคาร
    และภูมิทัศน์คณะ
    เภสัชศาสตร์  </t>
  </si>
  <si>
    <t>(3) โครงการอุดหนุนทุน
    พัฒนาบุคลากร</t>
  </si>
  <si>
    <t>เพื่อซ่อมแซมครุภัณฑ์วิทยาศาสตร์ให้อยู่ในสภาพใช้งานได้ สำหรับรองรับการภารกิจการจัดการเรียนการสอน การวิจัย การบริการวิชาการได้</t>
  </si>
  <si>
    <t>ครุภัณฑ์และเครื่องมือวิทยาศาสตร์สนับสนุนการดำเนินงานตามภารกิจหลักต่างๆของคณะฯ อยู่ในสภาพที่สามารถรองรับการดำเนินงานตามภารกิจหลักได้อย่างครอบคลุม</t>
  </si>
  <si>
    <t>ครุภัณฑ์และเครื่องมือวิทยาศาสตร์สนับสนุนการดำเนินงานตามภารกิจหลักต่างๆ อยู่ในสภาพใช้งาน</t>
  </si>
  <si>
    <t>(5) โครงการกำจัดของเสีย
    อันตรายที่เกิดจากการทำ 
    ปฏิบัติการการเรียนการ
    สอนและการวิจัย</t>
  </si>
  <si>
    <t xml:space="preserve">(8) โครงการรองรับการปรับ
    อัตราเงินเดือนตามคุณวุฒิ
    พนักงานมหาวิทยาลัย 
    (เยียวยา)   </t>
  </si>
  <si>
    <t>(9) โครงการจัดหาครุภัณฑ์
    รองรับการดำเนินงานตาม
    ภารกิจหลัก</t>
  </si>
  <si>
    <t xml:space="preserve"> - เครื่องปรับอากาศ 
   35000BTU(4เครี่องๆ
   ละ50,000บาท)</t>
  </si>
  <si>
    <t xml:space="preserve"> - เครื่องปรับอากาศ 
   25000BTU(5เครี่องๆ
  ละ30,000บาท)</t>
  </si>
  <si>
    <t xml:space="preserve"> - ชุดโต๊ะอเนกประสงค์ 
  (10 ชุดๆละ25,000บาท)</t>
  </si>
  <si>
    <t xml:space="preserve"> - เครื่องพิมพ์ดีดไฟฟ้า 
   (ชุดละ 25,000บาท) 
   วงเงิน 25,000 บาท</t>
  </si>
  <si>
    <t>(10) โครงการปรับปรุงพื้นที่
    จอดรถยนต์</t>
  </si>
  <si>
    <t>(11) โครงการก่อสร้างลาน
    กิจกรรม</t>
  </si>
  <si>
    <r>
      <t xml:space="preserve">โครงการสนับสนุนการ
จัดการศึกษาคณะ
เภสัชศาสตร์ </t>
    </r>
    <r>
      <rPr>
        <sz val="16"/>
        <rFont val="TH SarabunPSK"/>
        <family val="2"/>
      </rPr>
      <t>(เงินบริจาค)</t>
    </r>
  </si>
  <si>
    <r>
      <t xml:space="preserve">โครงการเงินผลประโยชน์
จากการดำเนินงานเพื่อพัฒนางานตามภารกิจหลัก 
</t>
    </r>
    <r>
      <rPr>
        <sz val="16"/>
        <rFont val="TH SarabunPSK"/>
        <family val="2"/>
      </rPr>
      <t>(เงินรายได้จากผลประโยชน์ในการดำเนินงาน)</t>
    </r>
  </si>
  <si>
    <r>
      <t xml:space="preserve">โครงการสร้างห้องปฏิบัติ
การปลอดภัย 
</t>
    </r>
    <r>
      <rPr>
        <sz val="16"/>
        <rFont val="TH SarabunPSK"/>
        <family val="2"/>
      </rPr>
      <t>(งบประมาณจากคภ.สสส.)</t>
    </r>
  </si>
  <si>
    <r>
      <t xml:space="preserve">โครงการเภสัชศาสตร์วิชาการเสริมศักยภาพชุมชน (Pharmacy Academic Service for Comunity  Empowerment : PhASCE) </t>
    </r>
    <r>
      <rPr>
        <sz val="16"/>
        <rFont val="TH SarabunPSK"/>
        <family val="2"/>
      </rPr>
      <t>ประกอบด้วย</t>
    </r>
  </si>
  <si>
    <t>(1) โครงการบริการวิชาการ
    ความรู้ด้านยาและการ
    ส่งเสริมสุขภาพแก่ครู
    ประจำโรงเรียนในเขต
    จังหวัดอุบลราชธานี</t>
  </si>
  <si>
    <t>(2) โครงการถ่ายทอดความ
    รู้เพื่อพัฒนาการจัดการ
    ความปลอดภัยในห้อง
    ปฏิบัติการวิทยาศาสตร์</t>
  </si>
  <si>
    <t>(6) โครงการประชุมวิชาการ
    ภาคเครือข่ายเผยแพร่
    ผลงานวิชาการ 3 สถาบัน</t>
  </si>
  <si>
    <t>(5) โครงการประชุมวิชาการ
    เรื่อง ความก้าวหน้าทาง
    เภสัชศาสตร์ และ
    สาธารณสุขการแพทย์</t>
  </si>
  <si>
    <t>(4) โครงการประชุมวิชาการ
    เรื่อง การพัฒนาเครือข่าย
    เภสัชกรและบุคลากร
    ทางสาธารณสุขภาค
    ตะวันออกเฉียงเหนือ</t>
  </si>
  <si>
    <t>(3) โครงการหมอยาเคลื่อนที่
    ครั้งที่ 4 (การให้การ
    บริบาลทางเภสัชกรรมที่
    โรงพยาบาล)</t>
  </si>
  <si>
    <r>
      <t xml:space="preserve">โครงการสร้างเสริมสุขภาพคณะเภสัชศาสตร์ 
</t>
    </r>
    <r>
      <rPr>
        <sz val="16"/>
        <rFont val="TH SarabunPSK"/>
        <family val="2"/>
      </rPr>
      <t>(ใช้งบแหล่งทุนภายนอก จำนวนเงิน 800,000 บาท)</t>
    </r>
  </si>
  <si>
    <r>
      <t xml:space="preserve">โครงการสนับสนุนการดำเนินงานวิจัยจากแหล่งทุนภายนอก </t>
    </r>
    <r>
      <rPr>
        <sz val="14"/>
        <rFont val="TH SarabunPSK"/>
        <family val="2"/>
      </rPr>
      <t>(วิจัยเพื่อถ่ายทอดเทคโนโลยี)</t>
    </r>
  </si>
  <si>
    <r>
      <t xml:space="preserve">โครงการสนับสนุนการดำเนินงานวิจัยจากแหล่งทุนภายนอก </t>
    </r>
    <r>
      <rPr>
        <sz val="14"/>
        <rFont val="TH SarabunPSK"/>
        <family val="2"/>
      </rPr>
      <t>(วิจัยเพื่อสร้างองค์ความรู้)</t>
    </r>
  </si>
  <si>
    <t xml:space="preserve">1. มีการพิจารณาทุนอย่าง
   น้อย 2 ครั้ง               
2. มีนักศึกษาได้รับทุนอย่าง
   น้อย 4 คน                  3. มีนักศึกษาได้รับทุน
   บำเพ็ญประโยชน์อย่างน้อย
   15 ชั่วโมง/ปี
</t>
  </si>
  <si>
    <t>เชิงปริมาณ คือ  
1. มีคณะกรรมการ
   พิจารณาทุนอย่างน้อย
   2 ครั้ง          
2. มีนักศึกษาได้รับทุนมี
   คุณสมบัติอย่างน้อย 
   4 คน      
3. มีนักศึกษาได้รับทุน
   บำเพ็ญประโยชน์ต่อ
   คณะอย่างน้อย 15 
   ชั่วโมง/ปี</t>
  </si>
  <si>
    <t>เพื่อส่งเสริมให้นักวิจัย เภสัชกร คณาจารย์ นิสิต นักศึกษา นำเสนอผลงานวิจัย เพื่อเผยแพร่ชื่อเสียงให้ปรากฏแก่สังคม</t>
  </si>
  <si>
    <t>(6) โครงการส่งเสริมการ
   กำกับและติดตามการ
   บริหารคณะเภสัชศาสตร์</t>
  </si>
  <si>
    <t>เพื่อส่งเสริมให้มีการกำกัลและติดตามการบริหารงานของผู้บริหารทุกระดับ โดยมุ่งผลสัมฤทธิ์การดำเนินงานตามภารกิจหลักของหน่วยงาน</t>
  </si>
  <si>
    <t>มีเวทีการประชุมเพื่อกำกับติดตามผลการบริหารงาน</t>
  </si>
  <si>
    <t>งานวิจัย/
ผศ.ดร.ปาจารีย์
ทองงอก</t>
  </si>
  <si>
    <t>งานวิจัย/
ดร.ศิริมา  สุวรรณกูฏ</t>
  </si>
  <si>
    <t>ข้อมูล ณ วันที่ 15 ตุลาคม 2556</t>
  </si>
  <si>
    <r>
      <rPr>
        <sz val="13"/>
        <rFont val="TH SarabunPSK"/>
        <family val="2"/>
      </rPr>
      <t xml:space="preserve">               1.1) เครื่องปรับอากาศ 25000BTU (2 เครี่องx30000) 
                    รวมเป็นเงิน 60,000 บาท
                    </t>
    </r>
    <r>
      <rPr>
        <i/>
        <sz val="12"/>
        <rFont val="TH SarabunPSK"/>
        <family val="2"/>
      </rPr>
      <t xml:space="preserve">(สำหรับห้องบัณฑิตศึกษาหนึ่งเครื่อง  ห้องปฐมพยาบาล
                          หนึ่งเครื่อง ห้องกิจการนักศึกษาสองเครื่อง ห้องสำนัก
                          สำนักงานฯ หนึ่งเครื่อง ห้องวิชาการหนึ่งเครื่อง และ
                          ห้องคอมพิวเตอร์แม่ข่ายหนึ่งเครื่อง  รวมเจ็ดเครื่อง) </t>
    </r>
  </si>
  <si>
    <t xml:space="preserve">             1.2) ตู้สำหรับเก็บเอกสาร จำนวน 2 ชุดๆ ละ 5,000 บาท 
                   รวมเป็นเงิน 10,000 บาท</t>
  </si>
  <si>
    <t xml:space="preserve">             1.3) เครื่องสแกนลายนิ้วมือเพื่อการรักษาความปลอดภัย
                   จำนวน 2 ชุด ชุดละ 25,000 บาท รวมเป็นเงิน 
                   50,000บาท</t>
  </si>
  <si>
    <t xml:space="preserve"> -  เครื่องสำรองไฟ (UPS) จำนวน 1 ชุด ๆละ 13,000 
    บาท รวมเป็นเงิน 13,000 บาท</t>
  </si>
  <si>
    <t xml:space="preserve">                 - เครื่องพิมพ์ผลแบบเลเซอร์ 2 เครื่องๆ ละ 30,000 บาท
                   รวมเป็นเงิน 60,000 บาท</t>
  </si>
  <si>
    <t>(5) โครงการจัดหาครุภัณฑ์ประจำอาคารคณะ
      เภสัชศาสตร์</t>
  </si>
  <si>
    <t>(6) โครงการจัดหาครุภัณฑ์ประจำอาคารศูนย์เครื่องมือ
     กลางและปฏิบัติงานเทคโนโลยีชีวภาพ</t>
  </si>
  <si>
    <t>4.2 โครงการพัฒนาประสิทธิภาพการดำเนินการด้าน
     ประกันคุณภาพการศึกษา</t>
  </si>
  <si>
    <t>4.3 โครงการพัฒนาศักยภาพอาจารย์ด้านการเรียนการ
     สอนเพื่อมุ่งสู่การเป็นคณะเภสัชศาสตร์ชั้นนำใน
     อาเซียน</t>
  </si>
  <si>
    <t>4.4 โครงการสนับสนุนการตรวจกระดาษคำตอบด้วย
      ระบบคอมพิวเตอร์</t>
  </si>
  <si>
    <t>4.6 โครงการส่งเสริมการกำกับและติดตามการบริหาร
     คณะเภสัชศาสตร์</t>
  </si>
  <si>
    <t xml:space="preserve"> - หมวดค่าใช้สอย ประกอบด้วย</t>
  </si>
  <si>
    <t xml:space="preserve">3.3) โครงการเตรียมความพร้อมเพื่อการฝึกปฏิบัติงาน
      วิชาชีพด้านเภสัชภัณฑ์และการควบคุมคุณภาพ และ
      ทำความร่วมมือกับแหล่งฝึก 
      (ประกอบด้วยกิจกรรมย่อย แสวงหาแหล่งฝึก เพื่อทำ
      ความร่วมมือ) </t>
  </si>
  <si>
    <t xml:space="preserve"> - ค่าใช้สอย </t>
  </si>
  <si>
    <t>1. ค่าจ้างแม่บ้าน (อัตรา 300 บาท/คน/วันx24วัน x8คนx12เดือน)</t>
  </si>
  <si>
    <t xml:space="preserve">             -  เครื่องคอมพิวเตอร์แบบพกพา จำนวน 4 เครื่องๆ ละ 
                20,000บาท (สำหรับงานสารสนเทศ) รวมเป็นเงิน 80,000 
                บาท</t>
  </si>
  <si>
    <t xml:space="preserve">             - เครื่องฉายภาพ3มิติ จำนวน  2 เครื่องๆ ละ 20,000 บาท
               (สำหรับงานสารสนเทศ) รวมเป็นเงิน 40,000 บาท</t>
  </si>
  <si>
    <t xml:space="preserve">             - ชุดคอมพิวเตอร์ตั้งโต๊ะ  จำนวน 2 เครื่อง รวมเป็นเงิน 
               50,000 บาท</t>
  </si>
  <si>
    <t xml:space="preserve">              - เครื่องพิมพ์ผลเลเซอร์ จำนวน  1 เครื่อง จำนวน 30,000
                บาท</t>
  </si>
  <si>
    <t xml:space="preserve">             - ชุดโต๊ะทำงาน จำนวน 5 ชุด ชุดละ 12,000 บาท รวมเป็น
               เงิน 60,000 บาท</t>
  </si>
  <si>
    <t xml:space="preserve">             - เครื่องปรับอากาศ 35000BTU (2เครี่องx50,000) (สำหรับ
               ห้องเรียนทั้งหกเครื่อง) รวมเป็นเงิน 100,000 บาท</t>
  </si>
  <si>
    <t xml:space="preserve"> - หมวดเงินอุดหนุน (ค่าใช้จ่ายอุดหนุน)</t>
  </si>
  <si>
    <t xml:space="preserve"> - หมวดเงินอุดหนุน (ค่าใช้จ่ายอุดหนุนโครงการ)</t>
  </si>
  <si>
    <t xml:space="preserve">(6) โครงการเวทีการมีส่วนร่วมของคณาจารย์และ
     บุคลากรคณะเภสัชศาสตร์ </t>
  </si>
  <si>
    <t>(7) โครงการพัฒนาระบบการบริหารความเสี่ยงและการ
     ควบคุมภายใน</t>
  </si>
  <si>
    <t xml:space="preserve">(8) โครงการพัฒนาระบบ 5 ส.  </t>
  </si>
  <si>
    <t>(9) โครงการสนับสนุนการจัดประชุมวิชาการเพื่อพัฒนา
     ศักยภาพการทำงานของบุคลากรสายสนับสนุนคณะ
     เภสัชศาสตร์แห่งประเทศไทยและศึกษาดูงาน</t>
  </si>
  <si>
    <t xml:space="preserve">(10) โครงการเพิ่มค่าตอบแทนในการปฏิบัติงานของบุคลากร
       ตามผลงานและเกณฑ์ภาระงาน   </t>
  </si>
  <si>
    <t xml:space="preserve">(11) โครงการเสริมสร้างความสามัคคีและความสัมพันธ์อัน
      ดีระหว่างบุคลากรคณะเภสัชศาสตร์   </t>
  </si>
  <si>
    <t>(12) โครงการพัฒนาและเสริมสร้างศักยภาพการทำงานเป็น
      ทีมของบุคลากรสายสนับสนุน</t>
  </si>
  <si>
    <t xml:space="preserve">(13) โครงการพัฒนาระบบบริหารทรัพยากรบุคคล  </t>
  </si>
  <si>
    <t xml:space="preserve">(14) โครงการบริหารจัดการพัสดุ </t>
  </si>
  <si>
    <t>(15) โครงการพัฒนาบุคลากร องค์กร และระบบงานร่วมกัน
       มุ่งมั่นสู่ความสำเร็จ  (บุคลากร/อาจารย์)</t>
  </si>
  <si>
    <t xml:space="preserve">(16) โครงการรับรองแขกคณะเภสัชศาสตร์ </t>
  </si>
  <si>
    <t>(17) โครงการส่งเสริมการสร้างทีมงานของบุคลากรคณะ
       เภสัชศาสตร์</t>
  </si>
  <si>
    <t>(18)  โครงการตรวจสุขภาพประจำปีบุคลากร</t>
  </si>
  <si>
    <t>(19) โครงการส่งเสริมการพิมพ์ตำราเผยแพร่</t>
  </si>
  <si>
    <t xml:space="preserve">(20) โครงการประชาสัมพันธ์คณะเภสัชศาสตร์เชิงรุก   </t>
  </si>
  <si>
    <t xml:space="preserve">(21) โครงการจัดการความรู้ คณะเภสัชศาสตร์  </t>
  </si>
  <si>
    <t>(22) โครงการพัฒนาบุคลากรด้านเทคโนโลยีสารสนเทศ</t>
  </si>
  <si>
    <t xml:space="preserve">(23) โครงการพัฒนาและเสริมสร้างคุณภาพการสอนสำหรับ
      กลุ่มวิชาชีวเภสัชศาสตร์ </t>
  </si>
  <si>
    <t xml:space="preserve">(24) โครงการพัฒนาและเสริมสร้างคุณภาพการสอนสำหรับ
      อาจารย์กลุ่มวิชาเภสัชเคมีและเทคโนโลยีเภสัชกรรม  </t>
  </si>
  <si>
    <t xml:space="preserve">(25) โครงการพัฒนาและเสริมสร้างคุณภาพการสอนสำหรับ
       อาจารย์กลุ่มวิชาเภสัชกรรมปฏิบัติ  </t>
  </si>
  <si>
    <t>(26) โครงการพัฒนาและเสริมสร้างศักยภาพการทำงานเป็น
      ทีมสำหรับคณะกรรมการงานกิจการนักศึกษา</t>
  </si>
  <si>
    <t xml:space="preserve">(27) โครงการออกข้อสอบประมวลและข้อสอบสภาเภสัชกรรม </t>
  </si>
  <si>
    <t>(28) โครงการดำเนินงานตามแผนของคณะกรรมการด้าน
      วิชาการ</t>
  </si>
  <si>
    <t>(29) โครงการพัฒนาศักยภาพอาจารย์ด้านภาษาต่างประเทศ 
       (ขอใช้งบสำนักงานวิเทศสัมพันธ์) วงเงิน 19,000 บาท</t>
  </si>
  <si>
    <t>(30) โครงการพัฒนาศักยภาพอาจารย์ด้านทักษะวิชาชีพใน
       ต่างประเทศ (ขอใช้งบสำนักงานวิเทศสัมพันธ์) วงเงิน 
       110,000 บาท</t>
  </si>
  <si>
    <t>(31) โครงการรณรงค์ส่งเสริมคุณธรรม จริยธรรม จรรยาบรรณ
        อาจารย์ จรรยาบรรณวิชาชีพ และจรรยาบรรณนักวิจัย
        สำหรับอาจารย์ 
        (เข้าอบรมหลักสูตรของมหาวิทยาลัยฯ)</t>
  </si>
  <si>
    <t>(32) โครงการเสริมสร้างศักยภาพการทำงานเป็นทีมและพัฒนา
      บุคลากรงานปฏิบัติการเพื่อก้าวสู่ห้องปฏิบัติการต้นแบบ</t>
  </si>
  <si>
    <t>(44) โครงการรวบรวม คัดสรรและสังเคราะห์งานวิจัยคณะ
       เภสัชศาสตร์และเผยแพร่สู่สาธารณชน</t>
  </si>
  <si>
    <t>(45) โครงการความร่วมมืองานวิจัยกับเครือข่ายทั้งในประเทศ
       และต่างประเทศ</t>
  </si>
  <si>
    <t xml:space="preserve"> - ค่าใช้จ่ายสำหรับการเข้าร่วมการประชุมเครือข่าย US-Thai consortium 120,000 บาท</t>
  </si>
  <si>
    <t xml:space="preserve"> - ค่าใช้จ่ายสำหรับการไปเจรจาความร่วมมือทางวิชาการในอาเซียน 50,000 บาท (เตรียมขอให้งบวิเทศฯ)</t>
  </si>
  <si>
    <t>8.4 โครงการซ่อมแซมครุภัณฑ์และเครื่องมือเพื่อรองรับการ
     จัดการเรียนการสอนและงานวิจัย</t>
  </si>
  <si>
    <t xml:space="preserve">8.8 โครงการรองรับการปรับอัตราเงินเดือนตามคุณวุฒิ
      พนักงานมหาวิทยาลัย (เยียวยา)   </t>
  </si>
  <si>
    <t xml:space="preserve">         - เครื่องปรับอากาศ 25000BTU (5เครี่องx30000) 150,000บาท</t>
  </si>
  <si>
    <t xml:space="preserve">         - เครื่องปรับอากาศ 35000BTU(4เครี่องx50000) 200,000บาท</t>
  </si>
  <si>
    <t xml:space="preserve">         - ชุดโต๊ะอเนกประสงค์ (10 ชุด x 25,000) 250,000 บาท</t>
  </si>
  <si>
    <t xml:space="preserve">         - เครื่องพิมพ์ดีดไฟฟ้า (ชุดละ 25,000บาท) วงเงิน 25,000 บาท</t>
  </si>
  <si>
    <t xml:space="preserve"> - โครงการจัดหาครุภัณฑ์
   ประจำอาคารคณะ
   เภสัชศาสตร์</t>
  </si>
  <si>
    <t xml:space="preserve"> - เครื่องปรับอากาศ 
   25000BTU(2 เครี่องๆ
   ละ30,000บาท) รวม
   เป็นเงิน 60,000 บาท</t>
  </si>
  <si>
    <t xml:space="preserve"> - ตู้สำหรับเก็บเอกสาร 
   จำนวน 2 ชุดๆละ 
   5,000 บาท รวมเป็นเงิน
   10,000 บาท</t>
  </si>
  <si>
    <t xml:space="preserve"> - เครื่องสแกนลายนิ้วมือ
  เพื่อการรักษาความ
  ปลอดภัย จำนวน 2 ชุด 
  ชุดละ 25,000 บาท 
  รวมเป็นเงิน50,000บาท</t>
  </si>
  <si>
    <t>(2) โครงการจัดหา
    ครุภัณฑ์รองรับการ
    พัฒนาประสิทธิภาพ
    คอมพิวเตอร์แม่ข่าย 
    และความปลอดภัย
    ของระบบสารสนเทศ</t>
  </si>
  <si>
    <t xml:space="preserve"> - ชุดคอมพิวเตอร์ตั้งโต๊ะ
  15 ชุด ๆ ละ 25,000 
  บาท รวมเป็นเงิน 
  375,000 บาท</t>
  </si>
  <si>
    <t xml:space="preserve"> - เครื่องสำรองไฟ (UPS) 
  จำนวน 1 ชุด ๆละ 
  13,000 บาท รวมเป็น
  เงิน 13,000 บาท</t>
  </si>
  <si>
    <t xml:space="preserve"> - เครื่องฉายโปรเจคเตอร์ 
  4 ชุดๆ ละ 13,000บาท 
  รวมเป็นเงิน 52,000บาท</t>
  </si>
  <si>
    <t>(3) โครงการจัดหา
    เครื่องพิมพ์ผลเพื่อ
    รองรับการบริหาร
    จัดการเอกสารภายใต้
   โครงการผลิตบัณฑิต
   ระดับปริญญาตรี</t>
  </si>
  <si>
    <t xml:space="preserve"> - เครื่องพิมพ์ผลแบบ
   เลเซอร์ 2 เครื่องๆ ละ 
   30,000 บาท รวมเป็น
  เงิน 60,000 บาท</t>
  </si>
  <si>
    <t>(4) โครงการจัดหา
    ครุภัณฑ์ทดแทนและ
    จำเป็นต่อการเพิ่ม
    ศักยภาพการเรียนการ
    สอน การบริการ
    วิชาการและการวิจัย
    ของคณะเภสัชศาสตร์
    ให้เป็นไปอย่างมี
    ประสิทธิภาพ</t>
  </si>
  <si>
    <t xml:space="preserve"> - เครื่องนึ่งฆ่าเชื้อด้วย
   ไอน้ำ วงเงิน 135,000 
   บาท</t>
  </si>
  <si>
    <t xml:space="preserve"> - เครื่องทำน้ำแข็ง วงเงิน 
  105,000 บาท</t>
  </si>
  <si>
    <t xml:space="preserve"> - ตู้บ่มเพาะเชื้อ 
   (Incubator) (5 เครื่อง)
   วงเงิน 50,000 บาท</t>
  </si>
  <si>
    <t xml:space="preserve"> - ตูอบลมรอน (Hot Air 
   Oven) วงเงิน 55,000 
   บาท</t>
  </si>
  <si>
    <t xml:space="preserve"> - ชุดอะคริลิคแชมเบอร์
   ประกอบเครื่องระเหย
   แห้ง  งเงิน 65,000 
   บาท)</t>
  </si>
  <si>
    <t xml:space="preserve"> - ชุดเครื่องบดสมุนไพร 
   วงเงิน 90,000 บาท </t>
  </si>
  <si>
    <t>(5) โครงการจัดหา
    ครุภัณฑ์ประจำอาคาร
    คณะเภสัชศาสตร์</t>
  </si>
  <si>
    <t xml:space="preserve"> - ชุดบรรจุแคปซูล
   กึ่งอัตโนมัติ 1 ชุด</t>
  </si>
  <si>
    <t xml:space="preserve"> - เครื่องวัดออสโมลาริตี้ 
  1 เครื่อง</t>
  </si>
  <si>
    <t xml:space="preserve"> - เครื่องวัดการดูดกลืน
  แสงชนิดช่วงคลื่นสั้น 
  1 เครื่อง</t>
  </si>
  <si>
    <t xml:space="preserve"> - เครื่องมือสำหรับบันทึก
  และพิมพ์ภาพแถบสาร 
  DNA,RNA และโปรตีน 
  ในงานอิเลคโตรโฟรีซีส   1 ชุด</t>
  </si>
  <si>
    <t xml:space="preserve"> - ชุดเครื่องโครมาโต
  กราฟีวิเคราะห์และแยก
  สารโดยใช้ความดันสูง 
  (HPLC) 1 ชุด</t>
  </si>
  <si>
    <t>(6) โครงการจัดหา
    ครุภัณฑ์ประจำอาคาร
    ศูนย์เครื่องมือกลาง
    และปฏิบัติงาน
   เทคโนโลยีชีวภาพ</t>
  </si>
  <si>
    <t xml:space="preserve"> - เครื่องวัดสีผลิตภัณฑ์
   เครื่องสำอางและยา 
  1 เครื่อง</t>
  </si>
  <si>
    <t xml:space="preserve"> - หมวดค่าใช้สอย
   ประกอบด้วย</t>
  </si>
  <si>
    <t>(1) โครงการพัฒนาแกนนำ
   นักศึกษา</t>
  </si>
  <si>
    <t>(3) โครงการแสดงความยินดี
    กับบัณฑิตและมหาบัณฑิต 
    คณะเภสัชศาสตร์</t>
  </si>
  <si>
    <t>(4) โครงการไหว้ครู</t>
  </si>
  <si>
    <t>(5) โครงการปฐมนิเทศและ
    เตรียมความพร้อมสำหรับ
    นักศึกษาใหม่</t>
  </si>
  <si>
    <t>(6) โครงการพัฒนาระบบ
    อาจารย์ที่ปรึกษา</t>
  </si>
  <si>
    <t xml:space="preserve"> 1. รณรงค์และเสริมสร้างความร่วมมือระหว่างเภสัชกรในภาครัฐและเอกชน
 2. รณงค์ให้ความรู้เกี่ยวกับยาและการใช้ยา 
 3. สร้างค่านิยมที่ดีของวิชาชีพเภสัชกรรมในส่วนของเภสัชกรและประชาชน                             4. เพื่อเผยแพร่บทบาทวิชาชีพเภสัชกรรม ให้เป็นที่รู้จักของประชาชน</t>
  </si>
  <si>
    <t>1. เพื่อให้นักศึกษาได้รับความรู้ ความเข้าใจในเรื่องระบบการศึกษาของคณะฯ และแนะนำการเรียนการสอน
2. เพื่อให้นักศึกษาได้ทราบข้อมูลเกียวกับการจัดกิจกรรมเสริมหลักสูตรของคณะ
3. เพื่อสร้างความรู้ความเข้าใจระบบประกันคุณภาพการศึกษาไปยังกลุ่มนักศึกษา                 
4. เพื่อเป็นการแนะนำคณาจารย์และบุคลากรคณะฯ ให้กับนักศึกษาใหม่</t>
  </si>
  <si>
    <t xml:space="preserve">1. เพื่อให้อาจารย์ที่ปรึกษาและนักศึกษา ได้มีโอกาส พบปะ และ
มีกิจกรรมร่วมกัน                
2.เพื่อพัฒนระบบอาจารย์ที่ปรึกษา
ให้มีประสิทธิภาพ                
3. เพื่อให้ทราบปัญหาและอุปสรรคต่างๆ  ที่สามารถนำไปช่วยเหลือนักศึกษา แก้ไขได้ถูกต้องและทันที </t>
  </si>
  <si>
    <t>5) ค่าใช้สอย(โครงการ/
   กิจกรรมย่อย)  
   ประกอบด้วย</t>
  </si>
  <si>
    <t xml:space="preserve"> - ชุดเครื่องมือสำหรับทำ
   โปรตีนอิเลคโตร
   โฟเรซีส 1 ชุด</t>
  </si>
  <si>
    <t>1. คณาจารย์ บุคลากรและนักศึกษา รู้สึกผูกพัน ภูมิใจ เป็นส่วนหนึ่งของสถาบัน
2. คณาจารย์ บุคลากรและนักศึกษา ได้ทำบุญเลี้ยงพระ ส่งเสริมให้มีคุณธรรม จริยธรรม
3. เกิดความสัมพันธ์อันดี
ระหว่าง คณาจารย์ บุคลากร
ฝ่ายต่างๆ และนักศึกษา</t>
  </si>
  <si>
    <t>(5) โครงการจัดงานครบ 
    รอบ 20 ปีคณะ
    เภสัชศาสตร์</t>
  </si>
  <si>
    <t xml:space="preserve">1. มีผลการประเมินการประกันคุณภาพการ
ศึกษาภายใน (สกอ.)
ปีการศึกษา 2555 อยู่
ในระดับดีถึงดีมาก
2. มีผลการประเมินการ
ประกันคุณภาพการ
ศึกษาภายนอก (สมศ.) ปีการศึกษา 2555 อยู่
ในระดับดีถึงดีมาก
3. มีผลการประเมินการ
ประกันคุณภาพการ
ศึกษาภายนอก สมศ.รอบ3 (ปี 2552-2554) อยู่ในระดับดีถึงดีมาก
4. มีจำนวนกิจกรรมที่ถ่ายทอดความรู้หรือนำ EdPEx ไปใช้ในการ พัฒนาการกระบวนการ
ดำเนินงาน ไม่น้อยกว่า   1 ครั้ง </t>
  </si>
  <si>
    <t>6.1 โครงการผลิตบัณฑิต
    ระดับบัณฑิตศึกษา</t>
  </si>
  <si>
    <t>งานวิจัย/
ดร.สมหวัง จรรยาขันติกุล</t>
  </si>
  <si>
    <t>งานบริการวิชาการ/
ผศ.ดร.ปรีชา  
บุญจูง</t>
  </si>
  <si>
    <t>งานบริการวิชาการ/
ดร.อนุวัฒน์ วัฒนพิชญากูล</t>
  </si>
  <si>
    <t>งานบริการวิชาการ/
ดร.บัญชา 
ยิ่งงาม</t>
  </si>
  <si>
    <t xml:space="preserve">(15) โครงการบริหารจัดการ  
     พัสดุ </t>
  </si>
  <si>
    <t>(1) โครงการจัดหา
     ครุภัณฑ์รองรับ
     ภารกิจการ
     บริหารจัดการ</t>
  </si>
  <si>
    <t>(1) โครงการสนับสนุน
    อาจารย์เข้าร่วมอบรม
    ด้านเภสัชศาสตร์ศึกษา
    แห่งชาติ</t>
  </si>
  <si>
    <t>(2) โครงการสัปดาห์
    เภสัชกรรม</t>
  </si>
  <si>
    <t>1. เพื่อแสดงความยินดีกับบัณฑิตและมหาบัณฑิต
2. เพื่อแลกเปลี่ยนประสบการณ์การทำงานระหว่างบัณฑิต คณาจารย์และนักศึกษา            
3. เพื่อเสริมสร้างสัมพันธภาพอันดีระหว่างบัณฑิต คณาจารย์ และนักศึกษา</t>
  </si>
  <si>
    <t>1. เพื่อแสดงถึงความกัตญญูกตเวทีต่อคณาจารย์
2. เพื่อให้ศิษย์ได้ขอขมาลาโทษต่อครู ในสิ่งที่ได้ล่วงเกินไปแล้ว
3. เพื่อมอบทุนการศึกษาประกาศเกียรติคุณมอบรางวัลแก่นักศึกษาที่เรียนดี กิจกรรมดีเด่น และแต่งกาย
ดี                    
4. เพื่อสร้างความสามัคคีระหว่างนักศึกษาและคณาจารย์              
5. เพื่อแสดงถึงประเพณีอันดีงามของไทย</t>
  </si>
  <si>
    <t xml:space="preserve">(7) โครงการทำบุญวัน
    สถาปนาคณะเภสัชศาสตร์
</t>
  </si>
  <si>
    <t>1. คณะเภสัชศาสตร์ มีเครือข่ายโรงพยาบาล ร้านยาที่สามารถรองรับการเรียนการสอนและการฝึกปฏิบัติงานวิชาชีพเพิ่มขึ้น
2.แหล่งฝึกปฎิบัติงาน
วิชาชีพ ได้รับการ
พัฒนาศักยภาพให้มี
คุณภาพสอดคล้องกับ
มาตรฐาน หลักสูตร
ของคณะเภสัชศาสตร์ 
 และเกณฑ์มาตรฐานของสภาเภสัชกรรม
3. เกิดความร่วมมือ
อย่างต่อเนื่องและเป็น
รูปธรรม ระหว่างคณะเภสัชศาสตร์กับแหล่งฝึกปฏิบัติงานในด้านต่างๆ เพื่อให้การจัดการเรียนการสอนสาขาเภสัชศาสตร์เป็นไปอย่างมีประสิทธฺภาพและต่อเนื่อง
4. บัณฑิตคณะเภสัชศาสตร์ มีความรู้  ตลอดจนได้รับการฝึกฝนทักษะและประสบการณ์ทางวิชาชีพอย่างเพียงพอเมื่อสำเร็จการศึกษาออกไปประกอบวิชาชีพ</t>
  </si>
  <si>
    <t xml:space="preserve">3.12 โครงการเตรียมแหล่ง
     ฝึกปฏิบัติงานวิชาชีพ
     ด้านเภสัชชุมชน 
    (ร้านยา)
</t>
  </si>
  <si>
    <t xml:space="preserve">3.13 โครงการประชุม
      กรรมการฝึกปฏิบัติ
      งานวิชาชีพ 
</t>
  </si>
  <si>
    <t>3.14 โครงการประกัน
     สุขภาพและความ
     ปลอดภัยให้แก่
     นักศึกษาระหว่างการ
     ฝึกปฏิบัติงานวิชาชีพ</t>
  </si>
  <si>
    <t>3.15 โครงการพัฒนา
      แนวคิดของชีวเภสัช
      ศาสตร์กับวิชาชีพ
     เภสัชกรรม</t>
  </si>
  <si>
    <r>
      <rPr>
        <b/>
        <sz val="16"/>
        <rFont val="TH SarabunPSK"/>
        <family val="2"/>
      </rPr>
      <t xml:space="preserve">โครงการพัฒนาศักยภาพบุคลากร
   </t>
    </r>
    <r>
      <rPr>
        <sz val="13"/>
        <rFont val="TH SarabunPSK"/>
        <family val="2"/>
      </rPr>
      <t>- โครงการส่งเสริมและ
      พัฒนาศักยภาพอาจารย์
      และบุคลากร</t>
    </r>
    <r>
      <rPr>
        <b/>
        <sz val="16"/>
        <rFont val="TH SarabunPSK"/>
        <family val="2"/>
      </rPr>
      <t xml:space="preserve">  </t>
    </r>
  </si>
  <si>
    <t>(10) โครงการสนับสนุนการ
     จัดประชุมวิชาการเพื่อ
     พัฒนาศักยภาพการ
     ทำงานของบุคลากรสาย
     สนับสนุนคณะเภสัช
     ศาสตร์แห่งประเทศ
     ไทยและศึกษาดูงาน</t>
  </si>
  <si>
    <t xml:space="preserve">(11) โครงการเพิ่มค่า
     ตอบแทนในการ
     ปฏิบัติงานของ
    บุคลากรตามผลงานและ
    เกณฑ์ภาระงาน   </t>
  </si>
  <si>
    <t xml:space="preserve">(12) โครงการเสริมสร้าง
     ความสามัคคีและ
     ความสัมพันธ์อันดี
    ระหว่างบุคลากรคณะ
    เภสัชศาสตร์   </t>
  </si>
  <si>
    <t>(16) โครงการพัฒนา
     บุคลากร องค์กร และ
     ระบบงานร่วมกันมุ่งมั่นสู่
     ความสำเร็จ 
    (บุคลากร/อาจารย์)</t>
  </si>
  <si>
    <t>(18) โครงการส่งเสริมการ
     สร้างทีมงานของ
     บุคลากรคณะ
    เภสัชศาสตร์</t>
  </si>
  <si>
    <t>(20) โครงการส่งเสริมการ
     พิมพ์ตำราเผยแพร่</t>
  </si>
  <si>
    <t xml:space="preserve">(25) โครงการพัฒนาและ
    เสริมสร้างคุณภาพการ
    สอนสำหรับอาจารย์กลุ่ม
    วิชาเภสัชเคมีและ
    เทคโนโลยีเภสัชกรรม  </t>
  </si>
  <si>
    <t>(29) โครงการดำเนินงานตาม
     แผนของคณะกรรมการ
     ด้านวิชาการ</t>
  </si>
  <si>
    <t xml:space="preserve">(30) โครงการพัฒนา
     ศักยภาพอาจารย์ด้าน
     ภาษาต่างประเทศ   
    (ขอใช้งบสำนักงานวิเทศ
    สัมพันธ์ วงเงิน 19,000 
    บาท) </t>
  </si>
  <si>
    <t>(31) โครงการพัฒนา
     ศักยภาพอาจารย์ด้าน
     ทักษะวิชาชีพ ใน
    ต่างประเทศ 
    (ขอใช้งบสำนักงานวิเทศ
    สัมพันธ์ วงเงิน 110,000 
    บาท)</t>
  </si>
  <si>
    <t>(32) โครงการรณรงค์ส่งเสริม
    คุณธรรม จริยธรรม 
    จรรยาบรรณอาจารย์ 
    จรรยาบรรณวิชาชีพและ
    จรรยาบรรณนักวิจัย
    สำหรับอาจารย์ 
    (เข้าอบรมหลักสูตรของ
    มหาวิทยาลัยฯ)</t>
  </si>
  <si>
    <t>(33) โครงการเสริมสร้าง
    ศักยภาพการทำงานเป็น
    ทีมและพัฒนาบุคลากร
    งานปฏิบัติการเพื่อก้าวสู่
    ห้องปฏิบัติการต้นแบบ</t>
  </si>
  <si>
    <t xml:space="preserve">(34) โครงการพัฒนาระบบ
     งานบริการวิชาการและ
     ทำนุบำรุงศิลปวัฒนธรรม
     คณะเภสัชศาสตร์ </t>
  </si>
  <si>
    <t>(37) โครงการพัฒนาทักษะ
     และจรรยาบรรณการ
     วิจัย 
     (จัดอบรมเสวนา/เวที
    แลกเปลี่ยนนักวิจัย/
    ประชาสัมพันธ์เชิงรุก-
    จัดทำคู่มือ)</t>
  </si>
  <si>
    <t>(38) โครงการสนับสนุนการ
     ทำวิจัยในชั้นเรียนหรือ
     วิจัยเพื่อพัฒนางานหรือ
     งานวิจัยที่ตอบสนองต่อ
     ความต้องการของชุมชน</t>
  </si>
  <si>
    <t xml:space="preserve">(40) โครงการสนับสนุนและ
     จัดสรรทุนวิจัยด้าน
     สุขภาพและยาจาก
     ภูมิปัญญาพื้นบ้านอีสาน
     ใต้และด้านบริบาล
     เภสัชกรรม </t>
  </si>
  <si>
    <t>(41) โครงการสนับสนุนการ
     ตีพิมพ์เผยแพร่ผลงาน
     วิจัย ผลงานคุณภาพและ
     งานสร้างสรรค์ทั้งในและ
     ต่างประเทศ</t>
  </si>
  <si>
    <t>(43) โครงการสนับสนุนการ
     เผยแพร่ชื่อเสียง
     ภาพลักษณ์ด้านงานวิจัย
     ให้ปรากฏแก่สังคม 
   (รวมโครงการสนับสนุนการ
    เผยแพร่นำเสนอผลงาน
    วิชาการทางเภสัชศาสร์)</t>
  </si>
  <si>
    <t>(44) โครงการสนับสนุน
     งานวิจัยนำไปใช้
    ประโยชน์</t>
  </si>
  <si>
    <t>(45) โครงการรวบรวม 
      คัดสรรและสังเคราะห์
      งานวิจัยคณะเภสัช
     ศาสตร์และเผยแพร่สู่
     สาธารณชน</t>
  </si>
  <si>
    <t>(1) โครงการซ่อมแซม
     ครุภัณฑ์</t>
  </si>
  <si>
    <t>(4) โครงการซ่อมแซม
    ครุภัณฑ์และเครื่องมือ
    วิทยาศาสตร์เพื่อรองรับ
   การจัดการเรียน การสอน
   และงานวิจัย</t>
  </si>
  <si>
    <t>(6) โครงการซ่อมแซม
    ปรับปรุงห้องเรียนห้อง
    บรรยาย</t>
  </si>
  <si>
    <t xml:space="preserve">(7) โครงการเงินสมทบทุน
    วิจัย สกว. </t>
  </si>
  <si>
    <t>(12) โครงการสนับสนุน
     มหาวิทยาลัยในการยืม
     เงินชำระค่ากระแสไฟฟ้า 
     ครั้งที่ 1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</si>
</sst>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_-* #,##0.0_-;\-* #,##0.0_-;_-* &quot;-&quot;??_-;_-@_-"/>
    <numFmt numFmtId="168" formatCode="_(* #,##0_);_(* \(#,##0\);_(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0"/>
      <name val="Arial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i/>
      <sz val="13"/>
      <name val="TH SarabunPSK"/>
      <family val="2"/>
    </font>
    <font>
      <i/>
      <sz val="12"/>
      <name val="TH SarabunPSK"/>
      <family val="2"/>
    </font>
    <font>
      <sz val="12"/>
      <name val="TH SarabunPSK"/>
      <family val="2"/>
    </font>
    <font>
      <b/>
      <i/>
      <sz val="12"/>
      <name val="TH SarabunPSK"/>
      <family val="2"/>
    </font>
    <font>
      <i/>
      <sz val="14"/>
      <name val="TH SarabunPSK"/>
      <family val="2"/>
    </font>
    <font>
      <b/>
      <i/>
      <sz val="13"/>
      <name val="TH SarabunPSK"/>
      <family val="2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sz val="16"/>
      <color rgb="FFFF0000"/>
      <name val="TH SarabunPSK"/>
      <family val="2"/>
    </font>
    <font>
      <sz val="12"/>
      <color rgb="FFFF0000"/>
      <name val="TH SarabunPSK"/>
      <family val="2"/>
    </font>
    <font>
      <sz val="13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4"/>
      <name val="TH SarabunPSK"/>
      <family val="2"/>
    </font>
    <font>
      <b/>
      <sz val="17"/>
      <name val="TH SarabunPSK"/>
      <family val="2"/>
    </font>
    <font>
      <b/>
      <u val="singleAccounting"/>
      <sz val="17"/>
      <name val="TH SarabunPSK"/>
      <family val="2"/>
    </font>
    <font>
      <b/>
      <sz val="20"/>
      <name val="TH SarabunPSK"/>
      <family val="2"/>
    </font>
    <font>
      <b/>
      <sz val="16"/>
      <color rgb="FF0033CC"/>
      <name val="TH SarabunPSK"/>
      <family val="2"/>
    </font>
    <font>
      <b/>
      <sz val="14"/>
      <color rgb="FF0033CC"/>
      <name val="TH SarabunPSK"/>
      <family val="2"/>
    </font>
    <font>
      <sz val="9"/>
      <color rgb="FF222222"/>
      <name val="Arial"/>
      <family val="2"/>
    </font>
    <font>
      <sz val="11"/>
      <color rgb="FFFF0000"/>
      <name val="Calibri"/>
      <family val="2"/>
      <scheme val="minor"/>
    </font>
    <font>
      <b/>
      <sz val="16"/>
      <name val="Angsana New"/>
      <family val="1"/>
    </font>
    <font>
      <sz val="16"/>
      <name val="Angsana New"/>
      <family val="1"/>
    </font>
    <font>
      <sz val="16"/>
      <color rgb="FFFF0000"/>
      <name val="Angsana New"/>
      <family val="1"/>
    </font>
    <font>
      <sz val="12"/>
      <color rgb="FFFF0000"/>
      <name val="Angsana New"/>
      <family val="1"/>
    </font>
    <font>
      <b/>
      <sz val="16"/>
      <color rgb="FFFF0000"/>
      <name val="Angsana New"/>
      <family val="1"/>
    </font>
    <font>
      <b/>
      <u val="doubleAccounting"/>
      <sz val="14"/>
      <name val="Angsana New"/>
      <family val="1"/>
    </font>
    <font>
      <sz val="14"/>
      <name val="Angsana New"/>
      <family val="1"/>
    </font>
    <font>
      <sz val="16"/>
      <color theme="1"/>
      <name val="AngsanaUPC"/>
      <family val="1"/>
      <charset val="222"/>
    </font>
    <font>
      <b/>
      <u/>
      <sz val="16"/>
      <color theme="1"/>
      <name val="AngsanaUPC"/>
      <family val="1"/>
      <charset val="222"/>
    </font>
    <font>
      <b/>
      <u/>
      <sz val="16"/>
      <name val="Angsana New"/>
      <family val="1"/>
    </font>
    <font>
      <b/>
      <sz val="15"/>
      <color rgb="FFFF0000"/>
      <name val="Angsana New"/>
      <family val="1"/>
    </font>
    <font>
      <b/>
      <u val="doubleAccounting"/>
      <sz val="16"/>
      <color rgb="FFFF0000"/>
      <name val="Angsana New"/>
      <family val="1"/>
    </font>
    <font>
      <i/>
      <u val="doubleAccounting"/>
      <sz val="16"/>
      <color rgb="FFFF0000"/>
      <name val="Angsana New"/>
      <family val="1"/>
    </font>
    <font>
      <b/>
      <u val="doubleAccounting"/>
      <sz val="14"/>
      <color rgb="FFFF0000"/>
      <name val="Angsana New"/>
      <family val="1"/>
    </font>
    <font>
      <sz val="14"/>
      <color rgb="FFFF0000"/>
      <name val="Angsana New"/>
      <family val="1"/>
    </font>
    <font>
      <b/>
      <sz val="14"/>
      <color rgb="FFFF0000"/>
      <name val="Angsana New"/>
      <family val="1"/>
    </font>
    <font>
      <b/>
      <sz val="13"/>
      <color rgb="FFFF0000"/>
      <name val="TH SarabunPSK"/>
      <family val="2"/>
    </font>
    <font>
      <b/>
      <sz val="15"/>
      <color rgb="FFFF0000"/>
      <name val="TH SarabunPSK"/>
      <family val="2"/>
    </font>
    <font>
      <sz val="13"/>
      <color rgb="FFFF0000"/>
      <name val="Times New Roman"/>
      <family val="1"/>
    </font>
    <font>
      <sz val="11"/>
      <name val="Calibri"/>
      <family val="2"/>
      <scheme val="minor"/>
    </font>
    <font>
      <i/>
      <sz val="15"/>
      <name val="TH SarabunPSK"/>
      <family val="2"/>
    </font>
    <font>
      <i/>
      <sz val="16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 applyFont="0" applyFill="0" applyBorder="0" applyAlignment="0" applyProtection="0"/>
  </cellStyleXfs>
  <cellXfs count="705">
    <xf numFmtId="0" fontId="0" fillId="0" borderId="0" xfId="0"/>
    <xf numFmtId="0" fontId="3" fillId="0" borderId="0" xfId="0" applyFont="1" applyAlignment="1">
      <alignment vertical="top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1" xfId="2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165" fontId="6" fillId="0" borderId="1" xfId="1" applyNumberFormat="1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horizontal="center" vertical="top"/>
    </xf>
    <xf numFmtId="0" fontId="10" fillId="0" borderId="1" xfId="2" applyFont="1" applyFill="1" applyBorder="1" applyAlignment="1">
      <alignment horizontal="left" vertical="top"/>
    </xf>
    <xf numFmtId="165" fontId="10" fillId="0" borderId="1" xfId="1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0" fontId="10" fillId="0" borderId="1" xfId="0" applyFont="1" applyFill="1" applyBorder="1" applyAlignment="1">
      <alignment vertical="top" wrapText="1"/>
    </xf>
    <xf numFmtId="165" fontId="10" fillId="0" borderId="1" xfId="1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 indent="2"/>
    </xf>
    <xf numFmtId="165" fontId="10" fillId="0" borderId="6" xfId="1" applyNumberFormat="1" applyFont="1" applyFill="1" applyBorder="1" applyAlignment="1">
      <alignment horizontal="center" vertical="top" wrapText="1"/>
    </xf>
    <xf numFmtId="165" fontId="9" fillId="0" borderId="6" xfId="1" applyNumberFormat="1" applyFont="1" applyFill="1" applyBorder="1" applyAlignment="1">
      <alignment horizontal="center" vertical="top" wrapText="1"/>
    </xf>
    <xf numFmtId="165" fontId="11" fillId="0" borderId="1" xfId="1" applyNumberFormat="1" applyFont="1" applyFill="1" applyBorder="1" applyAlignment="1">
      <alignment horizontal="left" vertical="top" wrapText="1" indent="2"/>
    </xf>
    <xf numFmtId="165" fontId="10" fillId="0" borderId="6" xfId="0" applyNumberFormat="1" applyFont="1" applyFill="1" applyBorder="1" applyAlignment="1">
      <alignment vertical="top" wrapText="1"/>
    </xf>
    <xf numFmtId="165" fontId="10" fillId="0" borderId="1" xfId="0" applyNumberFormat="1" applyFont="1" applyFill="1" applyBorder="1" applyAlignment="1">
      <alignment horizontal="left" vertical="top" wrapText="1" indent="2"/>
    </xf>
    <xf numFmtId="165" fontId="9" fillId="0" borderId="1" xfId="1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6" fillId="0" borderId="1" xfId="0" applyFont="1" applyBorder="1" applyAlignment="1">
      <alignment vertical="top" wrapText="1"/>
    </xf>
    <xf numFmtId="165" fontId="6" fillId="0" borderId="1" xfId="1" applyNumberFormat="1" applyFont="1" applyFill="1" applyBorder="1" applyAlignment="1">
      <alignment vertical="top" wrapText="1"/>
    </xf>
    <xf numFmtId="165" fontId="8" fillId="0" borderId="1" xfId="1" applyNumberFormat="1" applyFont="1" applyFill="1" applyBorder="1" applyAlignment="1">
      <alignment horizontal="left" vertical="top" wrapText="1"/>
    </xf>
    <xf numFmtId="165" fontId="8" fillId="0" borderId="1" xfId="1" applyNumberFormat="1" applyFont="1" applyFill="1" applyBorder="1" applyAlignment="1">
      <alignment horizontal="center" vertical="top" wrapText="1"/>
    </xf>
    <xf numFmtId="49" fontId="6" fillId="0" borderId="1" xfId="2" applyNumberFormat="1" applyFont="1" applyFill="1" applyBorder="1" applyAlignment="1">
      <alignment horizontal="center" vertical="top"/>
    </xf>
    <xf numFmtId="49" fontId="6" fillId="0" borderId="1" xfId="2" applyNumberFormat="1" applyFont="1" applyFill="1" applyBorder="1" applyAlignment="1">
      <alignment horizontal="left" vertical="top"/>
    </xf>
    <xf numFmtId="165" fontId="10" fillId="0" borderId="1" xfId="1" applyNumberFormat="1" applyFont="1" applyBorder="1" applyAlignment="1">
      <alignment horizontal="right" vertical="top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top" wrapText="1"/>
    </xf>
    <xf numFmtId="165" fontId="2" fillId="0" borderId="1" xfId="1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6" fillId="0" borderId="1" xfId="2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 wrapText="1"/>
    </xf>
    <xf numFmtId="165" fontId="6" fillId="0" borderId="1" xfId="1" applyNumberFormat="1" applyFont="1" applyFill="1" applyBorder="1" applyAlignment="1">
      <alignment horizontal="center" vertical="center" wrapText="1"/>
    </xf>
    <xf numFmtId="3" fontId="10" fillId="0" borderId="1" xfId="3" applyNumberFormat="1" applyFont="1" applyFill="1" applyBorder="1" applyAlignment="1">
      <alignment vertical="top"/>
    </xf>
    <xf numFmtId="0" fontId="6" fillId="0" borderId="1" xfId="2" applyFont="1" applyFill="1" applyBorder="1" applyAlignment="1">
      <alignment horizontal="left" vertical="top"/>
    </xf>
    <xf numFmtId="0" fontId="6" fillId="0" borderId="1" xfId="2" applyFont="1" applyFill="1" applyBorder="1" applyAlignment="1">
      <alignment horizontal="left" vertical="top" wrapText="1"/>
    </xf>
    <xf numFmtId="3" fontId="8" fillId="0" borderId="1" xfId="3" applyNumberFormat="1" applyFont="1" applyFill="1" applyBorder="1" applyAlignment="1">
      <alignment vertical="top"/>
    </xf>
    <xf numFmtId="0" fontId="8" fillId="0" borderId="6" xfId="0" applyFont="1" applyFill="1" applyBorder="1" applyAlignment="1">
      <alignment horizontal="left" vertical="top" wrapText="1" indent="2"/>
    </xf>
    <xf numFmtId="0" fontId="8" fillId="0" borderId="1" xfId="0" applyFont="1" applyFill="1" applyBorder="1" applyAlignment="1">
      <alignment vertical="top" wrapText="1"/>
    </xf>
    <xf numFmtId="0" fontId="8" fillId="0" borderId="0" xfId="0" applyFont="1" applyFill="1" applyAlignment="1">
      <alignment vertical="top"/>
    </xf>
    <xf numFmtId="49" fontId="6" fillId="0" borderId="1" xfId="2" applyNumberFormat="1" applyFont="1" applyFill="1" applyBorder="1" applyAlignment="1">
      <alignment horizontal="left" vertical="top" wrapText="1"/>
    </xf>
    <xf numFmtId="165" fontId="6" fillId="0" borderId="1" xfId="1" applyNumberFormat="1" applyFont="1" applyFill="1" applyBorder="1" applyAlignment="1">
      <alignment horizontal="left" vertical="top"/>
    </xf>
    <xf numFmtId="49" fontId="6" fillId="0" borderId="3" xfId="2" applyNumberFormat="1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16" fillId="0" borderId="1" xfId="2" applyFont="1" applyFill="1" applyBorder="1" applyAlignment="1">
      <alignment horizontal="center" vertical="top"/>
    </xf>
    <xf numFmtId="0" fontId="16" fillId="0" borderId="1" xfId="2" applyFont="1" applyFill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 indent="2"/>
    </xf>
    <xf numFmtId="165" fontId="11" fillId="0" borderId="6" xfId="1" applyNumberFormat="1" applyFont="1" applyBorder="1" applyAlignment="1">
      <alignment horizontal="left" vertical="top" wrapText="1" indent="2"/>
    </xf>
    <xf numFmtId="165" fontId="16" fillId="0" borderId="1" xfId="1" applyNumberFormat="1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horizontal="left" vertical="top"/>
    </xf>
    <xf numFmtId="0" fontId="10" fillId="0" borderId="6" xfId="0" applyFont="1" applyFill="1" applyBorder="1" applyAlignment="1">
      <alignment horizontal="left" vertical="top" wrapText="1" indent="2"/>
    </xf>
    <xf numFmtId="165" fontId="6" fillId="0" borderId="1" xfId="1" applyNumberFormat="1" applyFont="1" applyFill="1" applyBorder="1" applyAlignment="1">
      <alignment horizontal="left" vertical="top" wrapText="1" indent="1"/>
    </xf>
    <xf numFmtId="49" fontId="13" fillId="0" borderId="1" xfId="2" applyNumberFormat="1" applyFont="1" applyFill="1" applyBorder="1" applyAlignment="1">
      <alignment horizontal="center" vertical="top"/>
    </xf>
    <xf numFmtId="49" fontId="8" fillId="0" borderId="1" xfId="2" applyNumberFormat="1" applyFont="1" applyFill="1" applyBorder="1" applyAlignment="1">
      <alignment horizontal="left" vertical="top"/>
    </xf>
    <xf numFmtId="165" fontId="5" fillId="0" borderId="1" xfId="1" applyNumberFormat="1" applyFont="1" applyFill="1" applyBorder="1" applyAlignment="1">
      <alignment vertical="top" wrapText="1"/>
    </xf>
    <xf numFmtId="49" fontId="5" fillId="0" borderId="1" xfId="2" applyNumberFormat="1" applyFont="1" applyFill="1" applyBorder="1" applyAlignment="1">
      <alignment horizontal="center" vertical="top"/>
    </xf>
    <xf numFmtId="166" fontId="6" fillId="0" borderId="1" xfId="2" applyNumberFormat="1" applyFont="1" applyFill="1" applyBorder="1" applyAlignment="1">
      <alignment horizontal="center" vertical="top"/>
    </xf>
    <xf numFmtId="166" fontId="6" fillId="0" borderId="1" xfId="2" applyNumberFormat="1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 wrapText="1" indent="1"/>
    </xf>
    <xf numFmtId="0" fontId="6" fillId="0" borderId="3" xfId="0" applyFont="1" applyBorder="1"/>
    <xf numFmtId="166" fontId="8" fillId="0" borderId="1" xfId="2" applyNumberFormat="1" applyFont="1" applyFill="1" applyBorder="1" applyAlignment="1">
      <alignment horizontal="left" vertical="top"/>
    </xf>
    <xf numFmtId="166" fontId="6" fillId="0" borderId="1" xfId="2" applyNumberFormat="1" applyFont="1" applyFill="1" applyBorder="1" applyAlignment="1">
      <alignment horizontal="center" vertical="top" wrapText="1"/>
    </xf>
    <xf numFmtId="166" fontId="6" fillId="0" borderId="1" xfId="2" applyNumberFormat="1" applyFont="1" applyFill="1" applyBorder="1" applyAlignment="1">
      <alignment horizontal="left" vertical="top" wrapText="1"/>
    </xf>
    <xf numFmtId="166" fontId="3" fillId="0" borderId="1" xfId="2" applyNumberFormat="1" applyFont="1" applyFill="1" applyBorder="1" applyAlignment="1">
      <alignment horizontal="center" vertical="top"/>
    </xf>
    <xf numFmtId="165" fontId="5" fillId="0" borderId="1" xfId="1" applyNumberFormat="1" applyFont="1" applyFill="1" applyBorder="1" applyAlignment="1">
      <alignment horizontal="left" vertical="top" wrapText="1"/>
    </xf>
    <xf numFmtId="165" fontId="13" fillId="0" borderId="1" xfId="1" applyNumberFormat="1" applyFont="1" applyBorder="1" applyAlignment="1">
      <alignment horizontal="right" vertical="top" wrapText="1"/>
    </xf>
    <xf numFmtId="49" fontId="6" fillId="0" borderId="1" xfId="2" applyNumberFormat="1" applyFont="1" applyFill="1" applyBorder="1" applyAlignment="1">
      <alignment horizontal="center" vertical="top" wrapText="1"/>
    </xf>
    <xf numFmtId="49" fontId="5" fillId="0" borderId="1" xfId="2" applyNumberFormat="1" applyFont="1" applyFill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 indent="1"/>
    </xf>
    <xf numFmtId="0" fontId="9" fillId="0" borderId="1" xfId="0" applyFont="1" applyFill="1" applyBorder="1" applyAlignment="1">
      <alignment horizontal="left" vertical="top" wrapText="1" indent="1"/>
    </xf>
    <xf numFmtId="0" fontId="10" fillId="0" borderId="1" xfId="0" applyFont="1" applyFill="1" applyBorder="1" applyAlignment="1">
      <alignment horizontal="left" vertical="top" wrapText="1" indent="1"/>
    </xf>
    <xf numFmtId="0" fontId="3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3" fontId="13" fillId="0" borderId="1" xfId="0" applyNumberFormat="1" applyFont="1" applyBorder="1" applyAlignment="1">
      <alignment vertical="top"/>
    </xf>
    <xf numFmtId="0" fontId="9" fillId="0" borderId="1" xfId="0" applyFont="1" applyFill="1" applyBorder="1" applyAlignment="1">
      <alignment horizontal="left" vertical="top" wrapText="1" indent="2"/>
    </xf>
    <xf numFmtId="0" fontId="14" fillId="0" borderId="2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/>
    </xf>
    <xf numFmtId="165" fontId="2" fillId="0" borderId="1" xfId="1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6" fillId="0" borderId="3" xfId="2" applyFont="1" applyFill="1" applyBorder="1" applyAlignment="1">
      <alignment horizontal="center" vertical="top"/>
    </xf>
    <xf numFmtId="0" fontId="6" fillId="0" borderId="3" xfId="2" applyFont="1" applyFill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right" vertical="top" wrapText="1"/>
    </xf>
    <xf numFmtId="165" fontId="11" fillId="0" borderId="6" xfId="1" applyNumberFormat="1" applyFont="1" applyFill="1" applyBorder="1" applyAlignment="1">
      <alignment horizontal="left" vertical="top" wrapText="1" indent="2"/>
    </xf>
    <xf numFmtId="165" fontId="8" fillId="0" borderId="1" xfId="1" applyNumberFormat="1" applyFont="1" applyFill="1" applyBorder="1" applyAlignment="1">
      <alignment horizontal="left" vertical="top"/>
    </xf>
    <xf numFmtId="165" fontId="13" fillId="0" borderId="1" xfId="1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0" fontId="2" fillId="0" borderId="3" xfId="2" applyFont="1" applyFill="1" applyBorder="1" applyAlignment="1">
      <alignment horizontal="center" vertical="top"/>
    </xf>
    <xf numFmtId="49" fontId="8" fillId="0" borderId="3" xfId="2" applyNumberFormat="1" applyFont="1" applyFill="1" applyBorder="1" applyAlignment="1">
      <alignment horizontal="left" vertical="top"/>
    </xf>
    <xf numFmtId="0" fontId="11" fillId="0" borderId="6" xfId="0" applyFont="1" applyFill="1" applyBorder="1" applyAlignment="1">
      <alignment horizontal="right" vertical="top" wrapText="1"/>
    </xf>
    <xf numFmtId="0" fontId="8" fillId="0" borderId="1" xfId="2" applyFont="1" applyFill="1" applyBorder="1" applyAlignment="1">
      <alignment horizontal="left" vertical="top"/>
    </xf>
    <xf numFmtId="165" fontId="8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 indent="2"/>
    </xf>
    <xf numFmtId="49" fontId="9" fillId="0" borderId="1" xfId="0" applyNumberFormat="1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vertical="top"/>
    </xf>
    <xf numFmtId="0" fontId="9" fillId="0" borderId="1" xfId="0" applyFont="1" applyBorder="1" applyAlignment="1">
      <alignment horizontal="left" vertical="top" wrapText="1" indent="4"/>
    </xf>
    <xf numFmtId="165" fontId="9" fillId="0" borderId="1" xfId="1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65" fontId="9" fillId="0" borderId="1" xfId="1" applyNumberFormat="1" applyFont="1" applyFill="1" applyBorder="1" applyAlignment="1">
      <alignment vertical="top" wrapText="1"/>
    </xf>
    <xf numFmtId="49" fontId="9" fillId="0" borderId="1" xfId="2" applyNumberFormat="1" applyFont="1" applyFill="1" applyBorder="1" applyAlignment="1">
      <alignment horizontal="center" vertical="top"/>
    </xf>
    <xf numFmtId="49" fontId="9" fillId="0" borderId="1" xfId="2" applyNumberFormat="1" applyFont="1" applyFill="1" applyBorder="1" applyAlignment="1">
      <alignment horizontal="left" vertical="top"/>
    </xf>
    <xf numFmtId="165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164" fontId="9" fillId="0" borderId="1" xfId="1" applyNumberFormat="1" applyFont="1" applyFill="1" applyBorder="1" applyAlignment="1">
      <alignment horizontal="left" vertical="top" wrapText="1" indent="1"/>
    </xf>
    <xf numFmtId="0" fontId="8" fillId="0" borderId="6" xfId="3" applyFont="1" applyFill="1" applyBorder="1" applyAlignment="1">
      <alignment vertical="top"/>
    </xf>
    <xf numFmtId="165" fontId="8" fillId="0" borderId="6" xfId="3" applyNumberFormat="1" applyFont="1" applyFill="1" applyBorder="1" applyAlignment="1">
      <alignment vertical="top"/>
    </xf>
    <xf numFmtId="0" fontId="8" fillId="0" borderId="6" xfId="3" applyFont="1" applyFill="1" applyBorder="1" applyAlignment="1">
      <alignment horizontal="left" vertical="top" indent="1"/>
    </xf>
    <xf numFmtId="0" fontId="6" fillId="0" borderId="1" xfId="2" applyFont="1" applyFill="1" applyBorder="1" applyAlignment="1">
      <alignment horizontal="center" vertical="top" wrapText="1"/>
    </xf>
    <xf numFmtId="0" fontId="8" fillId="0" borderId="6" xfId="3" applyFont="1" applyFill="1" applyBorder="1" applyAlignment="1">
      <alignment vertical="top" wrapText="1"/>
    </xf>
    <xf numFmtId="3" fontId="8" fillId="0" borderId="1" xfId="3" applyNumberFormat="1" applyFont="1" applyFill="1" applyBorder="1" applyAlignment="1">
      <alignment vertical="top" wrapText="1"/>
    </xf>
    <xf numFmtId="0" fontId="9" fillId="0" borderId="6" xfId="3" applyFont="1" applyFill="1" applyBorder="1" applyAlignment="1">
      <alignment horizontal="left" vertical="top" wrapText="1" indent="2"/>
    </xf>
    <xf numFmtId="3" fontId="9" fillId="0" borderId="1" xfId="3" applyNumberFormat="1" applyFont="1" applyFill="1" applyBorder="1" applyAlignment="1">
      <alignment vertical="top"/>
    </xf>
    <xf numFmtId="0" fontId="10" fillId="0" borderId="6" xfId="3" applyFont="1" applyFill="1" applyBorder="1" applyAlignment="1">
      <alignment horizontal="left" vertical="top" wrapText="1" indent="2"/>
    </xf>
    <xf numFmtId="2" fontId="9" fillId="0" borderId="1" xfId="2" applyNumberFormat="1" applyFont="1" applyFill="1" applyBorder="1" applyAlignment="1">
      <alignment horizontal="center" vertical="top"/>
    </xf>
    <xf numFmtId="49" fontId="9" fillId="0" borderId="2" xfId="0" applyNumberFormat="1" applyFont="1" applyFill="1" applyBorder="1" applyAlignment="1">
      <alignment vertical="top" wrapText="1"/>
    </xf>
    <xf numFmtId="165" fontId="10" fillId="0" borderId="1" xfId="1" applyNumberFormat="1" applyFont="1" applyFill="1" applyBorder="1" applyAlignment="1">
      <alignment vertical="top" wrapText="1"/>
    </xf>
    <xf numFmtId="0" fontId="10" fillId="0" borderId="0" xfId="0" applyFont="1" applyFill="1" applyAlignment="1">
      <alignment vertical="top"/>
    </xf>
    <xf numFmtId="49" fontId="9" fillId="0" borderId="1" xfId="2" applyNumberFormat="1" applyFont="1" applyFill="1" applyBorder="1" applyAlignment="1">
      <alignment horizontal="left" vertical="top" wrapText="1"/>
    </xf>
    <xf numFmtId="165" fontId="9" fillId="0" borderId="1" xfId="1" applyNumberFormat="1" applyFont="1" applyFill="1" applyBorder="1" applyAlignment="1">
      <alignment horizontal="left" vertical="top"/>
    </xf>
    <xf numFmtId="0" fontId="9" fillId="0" borderId="0" xfId="0" applyFont="1" applyFill="1" applyAlignment="1">
      <alignment vertical="top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 wrapText="1" indent="4"/>
    </xf>
    <xf numFmtId="165" fontId="9" fillId="0" borderId="1" xfId="1" applyNumberFormat="1" applyFont="1" applyFill="1" applyBorder="1" applyAlignment="1">
      <alignment horizontal="left" vertical="top" wrapText="1" indent="1"/>
    </xf>
    <xf numFmtId="166" fontId="8" fillId="0" borderId="1" xfId="2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left" vertical="top" wrapText="1" indent="2"/>
    </xf>
    <xf numFmtId="166" fontId="9" fillId="0" borderId="1" xfId="2" applyNumberFormat="1" applyFont="1" applyFill="1" applyBorder="1" applyAlignment="1">
      <alignment horizontal="center" vertical="top" wrapText="1"/>
    </xf>
    <xf numFmtId="166" fontId="9" fillId="0" borderId="1" xfId="2" applyNumberFormat="1" applyFont="1" applyFill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 indent="1"/>
    </xf>
    <xf numFmtId="166" fontId="9" fillId="0" borderId="1" xfId="2" applyNumberFormat="1" applyFont="1" applyFill="1" applyBorder="1" applyAlignment="1">
      <alignment horizontal="center" vertical="top"/>
    </xf>
    <xf numFmtId="166" fontId="9" fillId="0" borderId="1" xfId="2" applyNumberFormat="1" applyFont="1" applyFill="1" applyBorder="1" applyAlignment="1">
      <alignment horizontal="left" vertical="top"/>
    </xf>
    <xf numFmtId="0" fontId="9" fillId="0" borderId="0" xfId="0" applyFont="1" applyAlignment="1">
      <alignment vertical="top" wrapText="1"/>
    </xf>
    <xf numFmtId="0" fontId="9" fillId="0" borderId="3" xfId="0" applyFont="1" applyBorder="1" applyAlignment="1">
      <alignment horizontal="left" vertical="top" indent="1"/>
    </xf>
    <xf numFmtId="0" fontId="9" fillId="0" borderId="3" xfId="0" applyFont="1" applyFill="1" applyBorder="1" applyAlignment="1">
      <alignment horizontal="left" vertical="top" wrapText="1" indent="1"/>
    </xf>
    <xf numFmtId="0" fontId="9" fillId="0" borderId="3" xfId="0" applyFont="1" applyBorder="1"/>
    <xf numFmtId="166" fontId="9" fillId="0" borderId="1" xfId="2" applyNumberFormat="1" applyFont="1" applyFill="1" applyBorder="1" applyAlignment="1">
      <alignment vertical="top" wrapText="1"/>
    </xf>
    <xf numFmtId="0" fontId="9" fillId="0" borderId="1" xfId="0" applyFont="1" applyBorder="1" applyAlignment="1">
      <alignment horizontal="left" vertical="top" indent="1"/>
    </xf>
    <xf numFmtId="49" fontId="9" fillId="0" borderId="1" xfId="2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49" fontId="9" fillId="0" borderId="1" xfId="2" applyNumberFormat="1" applyFont="1" applyFill="1" applyBorder="1" applyAlignment="1">
      <alignment horizontal="left" vertical="top" indent="2"/>
    </xf>
    <xf numFmtId="165" fontId="9" fillId="0" borderId="1" xfId="1" applyNumberFormat="1" applyFont="1" applyFill="1" applyBorder="1" applyAlignment="1">
      <alignment horizontal="left" vertical="top" indent="2"/>
    </xf>
    <xf numFmtId="0" fontId="10" fillId="0" borderId="0" xfId="0" applyFont="1" applyAlignment="1">
      <alignment horizontal="left" vertical="top" indent="2"/>
    </xf>
    <xf numFmtId="0" fontId="9" fillId="0" borderId="1" xfId="0" applyFont="1" applyBorder="1" applyAlignment="1">
      <alignment horizontal="left" vertical="top" indent="3"/>
    </xf>
    <xf numFmtId="0" fontId="12" fillId="0" borderId="2" xfId="0" applyFont="1" applyBorder="1" applyAlignment="1">
      <alignment horizontal="left" vertical="top"/>
    </xf>
    <xf numFmtId="165" fontId="11" fillId="0" borderId="3" xfId="1" applyNumberFormat="1" applyFont="1" applyFill="1" applyBorder="1" applyAlignment="1">
      <alignment vertical="top" wrapText="1"/>
    </xf>
    <xf numFmtId="165" fontId="11" fillId="0" borderId="1" xfId="1" applyNumberFormat="1" applyFont="1" applyBorder="1" applyAlignment="1">
      <alignment vertical="top" wrapText="1"/>
    </xf>
    <xf numFmtId="165" fontId="9" fillId="0" borderId="1" xfId="1" applyNumberFormat="1" applyFont="1" applyBorder="1" applyAlignment="1">
      <alignment horizontal="left" vertical="top" wrapText="1" indent="1"/>
    </xf>
    <xf numFmtId="165" fontId="9" fillId="0" borderId="1" xfId="1" applyNumberFormat="1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center" vertical="top"/>
    </xf>
    <xf numFmtId="3" fontId="10" fillId="0" borderId="1" xfId="0" applyNumberFormat="1" applyFont="1" applyBorder="1" applyAlignment="1">
      <alignment vertical="top"/>
    </xf>
    <xf numFmtId="165" fontId="10" fillId="0" borderId="1" xfId="1" applyNumberFormat="1" applyFont="1" applyBorder="1" applyAlignment="1">
      <alignment vertical="top" wrapText="1"/>
    </xf>
    <xf numFmtId="167" fontId="10" fillId="0" borderId="1" xfId="1" applyNumberFormat="1" applyFont="1" applyBorder="1" applyAlignment="1">
      <alignment vertical="top" wrapText="1"/>
    </xf>
    <xf numFmtId="164" fontId="10" fillId="0" borderId="1" xfId="1" applyNumberFormat="1" applyFont="1" applyBorder="1" applyAlignment="1">
      <alignment horizontal="center" vertical="top" wrapText="1"/>
    </xf>
    <xf numFmtId="165" fontId="12" fillId="0" borderId="1" xfId="0" applyNumberFormat="1" applyFont="1" applyFill="1" applyBorder="1" applyAlignment="1">
      <alignment horizontal="right" vertical="top" wrapText="1"/>
    </xf>
    <xf numFmtId="0" fontId="24" fillId="0" borderId="0" xfId="0" applyFont="1" applyFill="1" applyAlignment="1">
      <alignment horizontal="center" vertical="top"/>
    </xf>
    <xf numFmtId="0" fontId="15" fillId="0" borderId="1" xfId="0" applyFont="1" applyFill="1" applyBorder="1" applyAlignment="1">
      <alignment horizontal="right" vertical="top" wrapText="1"/>
    </xf>
    <xf numFmtId="3" fontId="10" fillId="0" borderId="3" xfId="0" applyNumberFormat="1" applyFont="1" applyFill="1" applyBorder="1" applyAlignment="1">
      <alignment horizontal="right" vertical="top" wrapText="1"/>
    </xf>
    <xf numFmtId="165" fontId="10" fillId="0" borderId="1" xfId="1" applyNumberFormat="1" applyFont="1" applyFill="1" applyBorder="1" applyAlignment="1">
      <alignment horizontal="right" vertical="top" wrapText="1"/>
    </xf>
    <xf numFmtId="165" fontId="10" fillId="0" borderId="1" xfId="1" applyNumberFormat="1" applyFont="1" applyFill="1" applyBorder="1" applyAlignment="1">
      <alignment horizontal="right" vertical="top"/>
    </xf>
    <xf numFmtId="49" fontId="6" fillId="0" borderId="1" xfId="2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3" fontId="13" fillId="0" borderId="1" xfId="0" applyNumberFormat="1" applyFont="1" applyFill="1" applyBorder="1" applyAlignment="1">
      <alignment vertical="top"/>
    </xf>
    <xf numFmtId="165" fontId="19" fillId="0" borderId="1" xfId="1" applyNumberFormat="1" applyFont="1" applyFill="1" applyBorder="1" applyAlignment="1">
      <alignment horizontal="center" vertical="top" wrapText="1"/>
    </xf>
    <xf numFmtId="168" fontId="25" fillId="2" borderId="1" xfId="1" applyNumberFormat="1" applyFont="1" applyFill="1" applyBorder="1" applyAlignment="1">
      <alignment horizontal="left" vertical="top" wrapText="1"/>
    </xf>
    <xf numFmtId="168" fontId="26" fillId="2" borderId="1" xfId="1" applyNumberFormat="1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165" fontId="29" fillId="0" borderId="1" xfId="1" applyNumberFormat="1" applyFont="1" applyFill="1" applyBorder="1" applyAlignment="1">
      <alignment horizontal="center" vertical="top" wrapText="1"/>
    </xf>
    <xf numFmtId="165" fontId="3" fillId="0" borderId="0" xfId="0" applyNumberFormat="1" applyFont="1" applyFill="1" applyAlignment="1">
      <alignment vertical="top"/>
    </xf>
    <xf numFmtId="165" fontId="3" fillId="0" borderId="0" xfId="0" applyNumberFormat="1" applyFont="1" applyFill="1" applyAlignment="1">
      <alignment vertical="top" wrapText="1"/>
    </xf>
    <xf numFmtId="43" fontId="5" fillId="0" borderId="1" xfId="1" applyFont="1" applyFill="1" applyBorder="1" applyAlignment="1">
      <alignment horizontal="center" vertical="top"/>
    </xf>
    <xf numFmtId="43" fontId="3" fillId="0" borderId="1" xfId="1" applyFont="1" applyFill="1" applyBorder="1" applyAlignment="1">
      <alignment vertical="top"/>
    </xf>
    <xf numFmtId="43" fontId="8" fillId="0" borderId="1" xfId="1" applyFont="1" applyFill="1" applyBorder="1" applyAlignment="1">
      <alignment vertical="top" wrapText="1"/>
    </xf>
    <xf numFmtId="0" fontId="28" fillId="0" borderId="2" xfId="2" applyFont="1" applyFill="1" applyBorder="1" applyAlignment="1">
      <alignment horizontal="center" vertical="top"/>
    </xf>
    <xf numFmtId="168" fontId="4" fillId="0" borderId="0" xfId="0" applyNumberFormat="1" applyFont="1" applyAlignment="1">
      <alignment horizontal="left" vertical="top"/>
    </xf>
    <xf numFmtId="165" fontId="8" fillId="0" borderId="0" xfId="0" applyNumberFormat="1" applyFont="1" applyAlignment="1">
      <alignment vertical="top"/>
    </xf>
    <xf numFmtId="165" fontId="10" fillId="0" borderId="0" xfId="0" applyNumberFormat="1" applyFont="1" applyAlignment="1">
      <alignment vertical="top"/>
    </xf>
    <xf numFmtId="168" fontId="8" fillId="0" borderId="0" xfId="1" applyNumberFormat="1" applyFont="1" applyAlignment="1">
      <alignment vertical="top"/>
    </xf>
    <xf numFmtId="168" fontId="10" fillId="0" borderId="0" xfId="1" applyNumberFormat="1" applyFont="1" applyAlignment="1">
      <alignment vertical="top"/>
    </xf>
    <xf numFmtId="0" fontId="12" fillId="0" borderId="2" xfId="0" applyFont="1" applyFill="1" applyBorder="1" applyAlignment="1">
      <alignment horizontal="right" vertical="top" wrapText="1"/>
    </xf>
    <xf numFmtId="0" fontId="8" fillId="0" borderId="6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165" fontId="6" fillId="0" borderId="1" xfId="1" applyNumberFormat="1" applyFont="1" applyFill="1" applyBorder="1" applyAlignment="1">
      <alignment horizontal="center" vertical="top"/>
    </xf>
    <xf numFmtId="0" fontId="30" fillId="0" borderId="0" xfId="0" applyFont="1" applyAlignment="1">
      <alignment vertical="top"/>
    </xf>
    <xf numFmtId="0" fontId="0" fillId="0" borderId="0" xfId="0" applyAlignment="1">
      <alignment vertical="top"/>
    </xf>
    <xf numFmtId="165" fontId="19" fillId="0" borderId="1" xfId="1" applyNumberFormat="1" applyFont="1" applyFill="1" applyBorder="1" applyAlignment="1">
      <alignment horizontal="left" vertical="top"/>
    </xf>
    <xf numFmtId="49" fontId="9" fillId="0" borderId="1" xfId="2" applyNumberFormat="1" applyFont="1" applyFill="1" applyBorder="1" applyAlignment="1">
      <alignment vertical="top"/>
    </xf>
    <xf numFmtId="165" fontId="8" fillId="0" borderId="1" xfId="0" applyNumberFormat="1" applyFont="1" applyFill="1" applyBorder="1" applyAlignment="1">
      <alignment horizontal="left" vertical="top" wrapText="1" indent="2"/>
    </xf>
    <xf numFmtId="0" fontId="12" fillId="0" borderId="2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7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top" wrapText="1"/>
    </xf>
    <xf numFmtId="0" fontId="33" fillId="0" borderId="0" xfId="0" applyFont="1" applyAlignment="1">
      <alignment vertical="top" wrapText="1"/>
    </xf>
    <xf numFmtId="0" fontId="32" fillId="0" borderId="0" xfId="0" applyFont="1" applyAlignment="1">
      <alignment horizontal="left" vertical="top"/>
    </xf>
    <xf numFmtId="43" fontId="34" fillId="0" borderId="3" xfId="1" applyNumberFormat="1" applyFont="1" applyBorder="1" applyAlignment="1">
      <alignment horizontal="center" vertical="top"/>
    </xf>
    <xf numFmtId="0" fontId="35" fillId="0" borderId="3" xfId="0" applyFont="1" applyBorder="1" applyAlignment="1">
      <alignment horizontal="left" vertical="top"/>
    </xf>
    <xf numFmtId="0" fontId="33" fillId="0" borderId="0" xfId="0" applyFont="1" applyAlignment="1">
      <alignment vertical="top"/>
    </xf>
    <xf numFmtId="43" fontId="34" fillId="0" borderId="1" xfId="1" applyNumberFormat="1" applyFont="1" applyBorder="1" applyAlignment="1">
      <alignment horizontal="center" vertical="top"/>
    </xf>
    <xf numFmtId="0" fontId="35" fillId="0" borderId="1" xfId="0" applyFont="1" applyBorder="1" applyAlignment="1">
      <alignment horizontal="left" vertical="top"/>
    </xf>
    <xf numFmtId="43" fontId="36" fillId="0" borderId="1" xfId="1" applyNumberFormat="1" applyFont="1" applyBorder="1" applyAlignment="1">
      <alignment horizontal="center" vertical="top"/>
    </xf>
    <xf numFmtId="43" fontId="34" fillId="0" borderId="2" xfId="1" applyNumberFormat="1" applyFont="1" applyBorder="1" applyAlignment="1">
      <alignment horizontal="center" vertical="top"/>
    </xf>
    <xf numFmtId="165" fontId="35" fillId="0" borderId="1" xfId="0" applyNumberFormat="1" applyFont="1" applyBorder="1" applyAlignment="1">
      <alignment horizontal="left" vertical="top"/>
    </xf>
    <xf numFmtId="43" fontId="34" fillId="0" borderId="2" xfId="1" applyNumberFormat="1" applyFont="1" applyBorder="1" applyAlignment="1">
      <alignment vertical="top"/>
    </xf>
    <xf numFmtId="165" fontId="35" fillId="0" borderId="2" xfId="0" applyNumberFormat="1" applyFont="1" applyBorder="1" applyAlignment="1">
      <alignment horizontal="center" vertical="top"/>
    </xf>
    <xf numFmtId="0" fontId="35" fillId="0" borderId="3" xfId="0" applyFont="1" applyBorder="1" applyAlignment="1">
      <alignment horizontal="center" vertical="top"/>
    </xf>
    <xf numFmtId="0" fontId="35" fillId="0" borderId="1" xfId="0" applyFont="1" applyBorder="1" applyAlignment="1">
      <alignment horizontal="center" vertical="top"/>
    </xf>
    <xf numFmtId="0" fontId="35" fillId="0" borderId="2" xfId="0" applyFont="1" applyBorder="1" applyAlignment="1">
      <alignment vertical="top"/>
    </xf>
    <xf numFmtId="43" fontId="34" fillId="0" borderId="7" xfId="1" applyNumberFormat="1" applyFont="1" applyBorder="1" applyAlignment="1">
      <alignment horizontal="center" vertical="top"/>
    </xf>
    <xf numFmtId="0" fontId="35" fillId="0" borderId="7" xfId="0" applyFont="1" applyBorder="1" applyAlignment="1">
      <alignment horizontal="center" vertical="top"/>
    </xf>
    <xf numFmtId="43" fontId="34" fillId="0" borderId="1" xfId="1" applyNumberFormat="1" applyFont="1" applyBorder="1" applyAlignment="1">
      <alignment vertical="top"/>
    </xf>
    <xf numFmtId="0" fontId="34" fillId="0" borderId="1" xfId="0" applyFont="1" applyBorder="1" applyAlignment="1">
      <alignment horizontal="center" vertical="top"/>
    </xf>
    <xf numFmtId="165" fontId="35" fillId="0" borderId="1" xfId="0" applyNumberFormat="1" applyFont="1" applyBorder="1" applyAlignment="1">
      <alignment horizontal="center" vertical="top"/>
    </xf>
    <xf numFmtId="43" fontId="34" fillId="0" borderId="0" xfId="1" applyNumberFormat="1" applyFont="1" applyBorder="1" applyAlignment="1">
      <alignment vertical="center"/>
    </xf>
    <xf numFmtId="0" fontId="33" fillId="0" borderId="0" xfId="0" applyFont="1" applyAlignment="1">
      <alignment horizontal="center" vertical="top" wrapText="1"/>
    </xf>
    <xf numFmtId="43" fontId="33" fillId="0" borderId="0" xfId="1" applyNumberFormat="1" applyFont="1" applyBorder="1" applyAlignment="1">
      <alignment vertical="top" wrapText="1"/>
    </xf>
    <xf numFmtId="43" fontId="37" fillId="0" borderId="0" xfId="1" applyNumberFormat="1" applyFont="1" applyAlignment="1">
      <alignment vertical="top" wrapText="1"/>
    </xf>
    <xf numFmtId="43" fontId="38" fillId="0" borderId="0" xfId="1" applyNumberFormat="1" applyFont="1" applyAlignment="1">
      <alignment vertical="top" wrapText="1"/>
    </xf>
    <xf numFmtId="43" fontId="33" fillId="0" borderId="0" xfId="1" applyNumberFormat="1" applyFont="1" applyAlignment="1">
      <alignment vertical="top" wrapText="1"/>
    </xf>
    <xf numFmtId="0" fontId="33" fillId="0" borderId="0" xfId="0" applyFont="1" applyAlignment="1">
      <alignment horizontal="center" vertical="top"/>
    </xf>
    <xf numFmtId="43" fontId="33" fillId="0" borderId="0" xfId="1" applyNumberFormat="1" applyFont="1" applyAlignment="1">
      <alignment vertical="top"/>
    </xf>
    <xf numFmtId="0" fontId="39" fillId="0" borderId="0" xfId="0" applyFont="1"/>
    <xf numFmtId="0" fontId="40" fillId="0" borderId="0" xfId="0" applyFont="1"/>
    <xf numFmtId="0" fontId="39" fillId="0" borderId="0" xfId="0" applyFont="1" applyAlignment="1">
      <alignment wrapText="1"/>
    </xf>
    <xf numFmtId="0" fontId="41" fillId="0" borderId="0" xfId="0" applyFont="1" applyAlignment="1">
      <alignment vertical="top"/>
    </xf>
    <xf numFmtId="0" fontId="34" fillId="0" borderId="0" xfId="0" applyFont="1" applyAlignment="1">
      <alignment vertical="top" wrapText="1"/>
    </xf>
    <xf numFmtId="0" fontId="42" fillId="0" borderId="0" xfId="0" applyFont="1" applyAlignment="1">
      <alignment horizontal="center" vertical="top" wrapText="1"/>
    </xf>
    <xf numFmtId="0" fontId="42" fillId="0" borderId="3" xfId="0" applyFont="1" applyBorder="1" applyAlignment="1">
      <alignment horizontal="center" vertical="top" wrapText="1"/>
    </xf>
    <xf numFmtId="0" fontId="42" fillId="0" borderId="1" xfId="0" applyFont="1" applyBorder="1" applyAlignment="1">
      <alignment horizontal="center" vertical="top" wrapText="1"/>
    </xf>
    <xf numFmtId="0" fontId="36" fillId="0" borderId="1" xfId="0" applyFont="1" applyBorder="1" applyAlignment="1">
      <alignment horizontal="left" vertical="top" wrapText="1"/>
    </xf>
    <xf numFmtId="0" fontId="42" fillId="0" borderId="2" xfId="0" applyFont="1" applyBorder="1" applyAlignment="1">
      <alignment horizontal="center" vertical="top" wrapText="1"/>
    </xf>
    <xf numFmtId="0" fontId="34" fillId="0" borderId="7" xfId="0" applyFont="1" applyBorder="1" applyAlignment="1">
      <alignment horizontal="center" vertical="top" wrapText="1"/>
    </xf>
    <xf numFmtId="0" fontId="36" fillId="0" borderId="7" xfId="0" applyFont="1" applyBorder="1" applyAlignment="1">
      <alignment vertical="top" wrapText="1"/>
    </xf>
    <xf numFmtId="0" fontId="34" fillId="0" borderId="7" xfId="0" applyFont="1" applyBorder="1" applyAlignment="1">
      <alignment vertical="top" wrapText="1"/>
    </xf>
    <xf numFmtId="164" fontId="34" fillId="0" borderId="7" xfId="1" applyNumberFormat="1" applyFont="1" applyBorder="1" applyAlignment="1">
      <alignment vertical="top" wrapText="1"/>
    </xf>
    <xf numFmtId="164" fontId="34" fillId="0" borderId="7" xfId="0" applyNumberFormat="1" applyFont="1" applyBorder="1" applyAlignment="1">
      <alignment vertical="top" wrapText="1"/>
    </xf>
    <xf numFmtId="165" fontId="34" fillId="0" borderId="7" xfId="1" applyNumberFormat="1" applyFont="1" applyBorder="1" applyAlignment="1">
      <alignment vertical="top" wrapText="1"/>
    </xf>
    <xf numFmtId="0" fontId="34" fillId="0" borderId="7" xfId="0" applyFont="1" applyBorder="1" applyAlignment="1">
      <alignment horizontal="center" vertical="top"/>
    </xf>
    <xf numFmtId="0" fontId="34" fillId="0" borderId="3" xfId="0" applyFont="1" applyBorder="1" applyAlignment="1">
      <alignment vertical="top"/>
    </xf>
    <xf numFmtId="0" fontId="34" fillId="0" borderId="3" xfId="0" applyFont="1" applyBorder="1" applyAlignment="1">
      <alignment horizontal="center" vertical="top"/>
    </xf>
    <xf numFmtId="43" fontId="34" fillId="0" borderId="3" xfId="1" applyNumberFormat="1" applyFont="1" applyBorder="1" applyAlignment="1">
      <alignment vertical="top"/>
    </xf>
    <xf numFmtId="165" fontId="34" fillId="0" borderId="3" xfId="1" applyNumberFormat="1" applyFont="1" applyBorder="1" applyAlignment="1">
      <alignment vertical="top"/>
    </xf>
    <xf numFmtId="165" fontId="34" fillId="0" borderId="3" xfId="1" applyNumberFormat="1" applyFont="1" applyBorder="1" applyAlignment="1">
      <alignment horizontal="center" vertical="top"/>
    </xf>
    <xf numFmtId="0" fontId="34" fillId="0" borderId="0" xfId="0" applyFont="1" applyAlignment="1">
      <alignment vertical="top"/>
    </xf>
    <xf numFmtId="0" fontId="31" fillId="0" borderId="0" xfId="0" applyFont="1" applyAlignment="1">
      <alignment vertical="top"/>
    </xf>
    <xf numFmtId="0" fontId="34" fillId="0" borderId="1" xfId="0" applyFont="1" applyBorder="1" applyAlignment="1">
      <alignment horizontal="left" vertical="top"/>
    </xf>
    <xf numFmtId="165" fontId="34" fillId="0" borderId="1" xfId="1" applyNumberFormat="1" applyFont="1" applyBorder="1" applyAlignment="1">
      <alignment horizontal="center" vertical="top"/>
    </xf>
    <xf numFmtId="49" fontId="34" fillId="0" borderId="1" xfId="0" applyNumberFormat="1" applyFont="1" applyBorder="1" applyAlignment="1">
      <alignment horizontal="left" vertical="top"/>
    </xf>
    <xf numFmtId="43" fontId="34" fillId="0" borderId="1" xfId="1" applyNumberFormat="1" applyFont="1" applyFill="1" applyBorder="1" applyAlignment="1">
      <alignment vertical="top"/>
    </xf>
    <xf numFmtId="165" fontId="34" fillId="0" borderId="1" xfId="1" applyNumberFormat="1" applyFont="1" applyFill="1" applyBorder="1" applyAlignment="1">
      <alignment vertical="top"/>
    </xf>
    <xf numFmtId="165" fontId="34" fillId="0" borderId="1" xfId="1" applyNumberFormat="1" applyFont="1" applyBorder="1" applyAlignment="1">
      <alignment vertical="top"/>
    </xf>
    <xf numFmtId="0" fontId="34" fillId="0" borderId="1" xfId="0" applyFont="1" applyBorder="1" applyAlignment="1">
      <alignment vertical="top"/>
    </xf>
    <xf numFmtId="0" fontId="31" fillId="0" borderId="0" xfId="0" applyFont="1" applyAlignment="1"/>
    <xf numFmtId="0" fontId="34" fillId="0" borderId="1" xfId="0" applyFont="1" applyBorder="1" applyAlignment="1">
      <alignment horizontal="left" vertical="top" indent="1"/>
    </xf>
    <xf numFmtId="0" fontId="34" fillId="0" borderId="2" xfId="0" applyFont="1" applyBorder="1" applyAlignment="1">
      <alignment horizontal="center" vertical="top"/>
    </xf>
    <xf numFmtId="165" fontId="34" fillId="0" borderId="2" xfId="1" applyNumberFormat="1" applyFont="1" applyBorder="1" applyAlignment="1">
      <alignment vertical="top"/>
    </xf>
    <xf numFmtId="165" fontId="34" fillId="0" borderId="2" xfId="1" applyNumberFormat="1" applyFont="1" applyBorder="1" applyAlignment="1">
      <alignment horizontal="center" vertical="top"/>
    </xf>
    <xf numFmtId="0" fontId="36" fillId="0" borderId="2" xfId="0" applyFont="1" applyBorder="1" applyAlignment="1">
      <alignment vertical="top"/>
    </xf>
    <xf numFmtId="0" fontId="34" fillId="0" borderId="7" xfId="0" applyFont="1" applyBorder="1" applyAlignment="1">
      <alignment vertical="top"/>
    </xf>
    <xf numFmtId="43" fontId="34" fillId="0" borderId="7" xfId="1" applyNumberFormat="1" applyFont="1" applyBorder="1" applyAlignment="1">
      <alignment vertical="top"/>
    </xf>
    <xf numFmtId="164" fontId="34" fillId="0" borderId="7" xfId="1" applyNumberFormat="1" applyFont="1" applyBorder="1" applyAlignment="1">
      <alignment vertical="top"/>
    </xf>
    <xf numFmtId="164" fontId="34" fillId="0" borderId="7" xfId="1" applyNumberFormat="1" applyFont="1" applyFill="1" applyBorder="1" applyAlignment="1">
      <alignment vertical="top"/>
    </xf>
    <xf numFmtId="165" fontId="34" fillId="0" borderId="7" xfId="1" applyNumberFormat="1" applyFont="1" applyFill="1" applyBorder="1" applyAlignment="1">
      <alignment vertical="top"/>
    </xf>
    <xf numFmtId="165" fontId="34" fillId="0" borderId="7" xfId="1" applyNumberFormat="1" applyFont="1" applyBorder="1" applyAlignment="1">
      <alignment horizontal="center" vertical="top"/>
    </xf>
    <xf numFmtId="0" fontId="34" fillId="0" borderId="0" xfId="0" applyFont="1" applyBorder="1" applyAlignment="1">
      <alignment vertical="top"/>
    </xf>
    <xf numFmtId="0" fontId="36" fillId="0" borderId="2" xfId="0" applyFont="1" applyBorder="1" applyAlignment="1"/>
    <xf numFmtId="165" fontId="34" fillId="0" borderId="7" xfId="1" applyNumberFormat="1" applyFont="1" applyBorder="1" applyAlignment="1">
      <alignment vertical="top"/>
    </xf>
    <xf numFmtId="0" fontId="36" fillId="0" borderId="1" xfId="0" applyFont="1" applyBorder="1" applyAlignment="1">
      <alignment horizontal="center"/>
    </xf>
    <xf numFmtId="43" fontId="34" fillId="0" borderId="1" xfId="0" applyNumberFormat="1" applyFont="1" applyBorder="1" applyAlignment="1">
      <alignment horizontal="center" vertical="top"/>
    </xf>
    <xf numFmtId="0" fontId="34" fillId="0" borderId="0" xfId="0" applyFont="1" applyAlignment="1">
      <alignment vertical="center"/>
    </xf>
    <xf numFmtId="43" fontId="34" fillId="0" borderId="9" xfId="1" applyNumberFormat="1" applyFont="1" applyBorder="1" applyAlignment="1">
      <alignment vertical="center"/>
    </xf>
    <xf numFmtId="43" fontId="43" fillId="4" borderId="0" xfId="1" applyNumberFormat="1" applyFont="1" applyFill="1" applyBorder="1" applyAlignment="1">
      <alignment vertical="center"/>
    </xf>
    <xf numFmtId="43" fontId="44" fillId="4" borderId="0" xfId="1" applyNumberFormat="1" applyFont="1" applyFill="1" applyBorder="1" applyAlignment="1">
      <alignment vertical="center"/>
    </xf>
    <xf numFmtId="43" fontId="43" fillId="5" borderId="0" xfId="1" applyNumberFormat="1" applyFont="1" applyFill="1" applyAlignment="1">
      <alignment vertical="center"/>
    </xf>
    <xf numFmtId="43" fontId="34" fillId="0" borderId="0" xfId="1" applyNumberFormat="1" applyFont="1" applyAlignment="1">
      <alignment vertical="center"/>
    </xf>
    <xf numFmtId="0" fontId="34" fillId="0" borderId="0" xfId="0" applyFont="1" applyAlignment="1">
      <alignment horizontal="center" vertical="top" wrapText="1"/>
    </xf>
    <xf numFmtId="43" fontId="34" fillId="0" borderId="0" xfId="1" applyNumberFormat="1" applyFont="1" applyBorder="1" applyAlignment="1">
      <alignment vertical="top" wrapText="1"/>
    </xf>
    <xf numFmtId="43" fontId="35" fillId="0" borderId="0" xfId="1" applyNumberFormat="1" applyFont="1" applyBorder="1" applyAlignment="1">
      <alignment vertical="top" wrapText="1"/>
    </xf>
    <xf numFmtId="43" fontId="45" fillId="0" borderId="0" xfId="1" applyNumberFormat="1" applyFont="1" applyAlignment="1">
      <alignment vertical="top" wrapText="1"/>
    </xf>
    <xf numFmtId="43" fontId="46" fillId="0" borderId="0" xfId="1" applyNumberFormat="1" applyFont="1" applyAlignment="1">
      <alignment vertical="top" wrapText="1"/>
    </xf>
    <xf numFmtId="43" fontId="34" fillId="0" borderId="0" xfId="1" applyNumberFormat="1" applyFont="1" applyAlignment="1">
      <alignment vertical="top" wrapText="1"/>
    </xf>
    <xf numFmtId="0" fontId="36" fillId="0" borderId="0" xfId="0" applyFont="1" applyAlignment="1">
      <alignment horizontal="center" vertical="top" wrapText="1"/>
    </xf>
    <xf numFmtId="0" fontId="36" fillId="0" borderId="0" xfId="0" applyFont="1" applyAlignment="1">
      <alignment vertical="top"/>
    </xf>
    <xf numFmtId="43" fontId="36" fillId="0" borderId="0" xfId="1" applyNumberFormat="1" applyFont="1" applyBorder="1" applyAlignment="1">
      <alignment vertical="top" wrapText="1"/>
    </xf>
    <xf numFmtId="43" fontId="47" fillId="0" borderId="0" xfId="1" applyNumberFormat="1" applyFont="1" applyAlignment="1">
      <alignment vertical="top" wrapText="1"/>
    </xf>
    <xf numFmtId="43" fontId="36" fillId="0" borderId="0" xfId="1" applyNumberFormat="1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4" fillId="0" borderId="0" xfId="0" applyFont="1" applyAlignment="1">
      <alignment horizontal="center" vertical="top"/>
    </xf>
    <xf numFmtId="43" fontId="34" fillId="0" borderId="0" xfId="1" applyNumberFormat="1" applyFont="1" applyBorder="1" applyAlignment="1">
      <alignment vertical="top"/>
    </xf>
    <xf numFmtId="43" fontId="36" fillId="0" borderId="0" xfId="1" applyNumberFormat="1" applyFont="1" applyBorder="1" applyAlignment="1">
      <alignment vertical="top"/>
    </xf>
    <xf numFmtId="43" fontId="45" fillId="0" borderId="0" xfId="1" applyNumberFormat="1" applyFont="1" applyAlignment="1">
      <alignment vertical="top"/>
    </xf>
    <xf numFmtId="43" fontId="46" fillId="0" borderId="0" xfId="1" applyNumberFormat="1" applyFont="1" applyAlignment="1">
      <alignment vertical="top"/>
    </xf>
    <xf numFmtId="43" fontId="34" fillId="0" borderId="0" xfId="1" applyNumberFormat="1" applyFont="1" applyAlignment="1">
      <alignment vertical="top"/>
    </xf>
    <xf numFmtId="0" fontId="34" fillId="0" borderId="0" xfId="0" applyFont="1" applyAlignment="1">
      <alignment horizontal="left" vertical="top" indent="3"/>
    </xf>
    <xf numFmtId="0" fontId="34" fillId="0" borderId="0" xfId="0" applyFont="1" applyAlignment="1">
      <alignment horizontal="left" vertical="top" indent="2"/>
    </xf>
    <xf numFmtId="0" fontId="6" fillId="0" borderId="7" xfId="0" applyNumberFormat="1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left" vertical="top" wrapText="1"/>
    </xf>
    <xf numFmtId="0" fontId="8" fillId="0" borderId="1" xfId="1" applyNumberFormat="1" applyFont="1" applyFill="1" applyBorder="1" applyAlignment="1">
      <alignment horizontal="center" vertical="top" wrapText="1"/>
    </xf>
    <xf numFmtId="0" fontId="3" fillId="0" borderId="0" xfId="0" applyNumberFormat="1" applyFont="1" applyAlignment="1">
      <alignment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0" fillId="0" borderId="1" xfId="1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Alignment="1">
      <alignment vertical="top" wrapText="1"/>
    </xf>
    <xf numFmtId="0" fontId="22" fillId="0" borderId="1" xfId="0" applyNumberFormat="1" applyFont="1" applyFill="1" applyBorder="1" applyAlignment="1">
      <alignment vertical="top" wrapText="1"/>
    </xf>
    <xf numFmtId="0" fontId="22" fillId="0" borderId="1" xfId="0" applyNumberFormat="1" applyFont="1" applyBorder="1" applyAlignment="1">
      <alignment vertical="top" wrapText="1"/>
    </xf>
    <xf numFmtId="0" fontId="22" fillId="0" borderId="4" xfId="0" applyNumberFormat="1" applyFont="1" applyBorder="1" applyAlignment="1">
      <alignment vertical="top" wrapText="1"/>
    </xf>
    <xf numFmtId="0" fontId="22" fillId="0" borderId="1" xfId="0" quotePrefix="1" applyNumberFormat="1" applyFont="1" applyBorder="1" applyAlignment="1">
      <alignment vertical="top" wrapText="1"/>
    </xf>
    <xf numFmtId="0" fontId="17" fillId="0" borderId="1" xfId="1" applyNumberFormat="1" applyFont="1" applyFill="1" applyBorder="1" applyAlignment="1">
      <alignment horizontal="center" vertical="top" wrapText="1"/>
    </xf>
    <xf numFmtId="0" fontId="22" fillId="0" borderId="0" xfId="0" applyNumberFormat="1" applyFont="1" applyAlignment="1">
      <alignment vertical="top" wrapText="1"/>
    </xf>
    <xf numFmtId="0" fontId="10" fillId="0" borderId="1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horizontal="left" vertical="top" wrapText="1"/>
    </xf>
    <xf numFmtId="165" fontId="13" fillId="0" borderId="3" xfId="1" applyNumberFormat="1" applyFont="1" applyFill="1" applyBorder="1" applyAlignment="1">
      <alignment horizontal="left" vertical="top" wrapText="1"/>
    </xf>
    <xf numFmtId="165" fontId="5" fillId="0" borderId="3" xfId="1" applyNumberFormat="1" applyFont="1" applyFill="1" applyBorder="1" applyAlignment="1">
      <alignment horizontal="center" vertical="top" wrapText="1"/>
    </xf>
    <xf numFmtId="165" fontId="8" fillId="0" borderId="3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164" fontId="2" fillId="0" borderId="1" xfId="1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vertical="top" wrapText="1"/>
    </xf>
    <xf numFmtId="0" fontId="22" fillId="0" borderId="1" xfId="0" applyNumberFormat="1" applyFont="1" applyBorder="1" applyAlignment="1">
      <alignment horizontal="left" vertical="top" wrapText="1" indent="1"/>
    </xf>
    <xf numFmtId="0" fontId="22" fillId="6" borderId="1" xfId="2" applyNumberFormat="1" applyFont="1" applyFill="1" applyBorder="1" applyAlignment="1">
      <alignment horizontal="left" vertical="top" wrapText="1"/>
    </xf>
    <xf numFmtId="49" fontId="22" fillId="6" borderId="1" xfId="2" applyNumberFormat="1" applyFont="1" applyFill="1" applyBorder="1" applyAlignment="1">
      <alignment horizontal="left" vertical="top" wrapText="1"/>
    </xf>
    <xf numFmtId="165" fontId="48" fillId="0" borderId="1" xfId="1" applyNumberFormat="1" applyFont="1" applyFill="1" applyBorder="1" applyAlignment="1">
      <alignment horizontal="center" vertical="center" wrapText="1"/>
    </xf>
    <xf numFmtId="165" fontId="48" fillId="0" borderId="1" xfId="1" applyNumberFormat="1" applyFont="1" applyFill="1" applyBorder="1" applyAlignment="1">
      <alignment horizontal="center" vertical="top" wrapText="1"/>
    </xf>
    <xf numFmtId="0" fontId="22" fillId="0" borderId="1" xfId="0" applyNumberFormat="1" applyFont="1" applyBorder="1" applyAlignment="1">
      <alignment horizontal="left" vertical="top" wrapText="1"/>
    </xf>
    <xf numFmtId="0" fontId="10" fillId="0" borderId="1" xfId="0" applyNumberFormat="1" applyFont="1" applyBorder="1" applyAlignment="1">
      <alignment vertical="top" wrapText="1"/>
    </xf>
    <xf numFmtId="164" fontId="10" fillId="0" borderId="1" xfId="1" applyNumberFormat="1" applyFont="1" applyFill="1" applyBorder="1" applyAlignment="1">
      <alignment horizontal="center" vertical="top" wrapText="1"/>
    </xf>
    <xf numFmtId="0" fontId="10" fillId="0" borderId="0" xfId="0" applyNumberFormat="1" applyFont="1" applyAlignment="1">
      <alignment vertical="top" wrapText="1"/>
    </xf>
    <xf numFmtId="0" fontId="10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vertical="top" wrapText="1"/>
    </xf>
    <xf numFmtId="0" fontId="10" fillId="0" borderId="1" xfId="0" applyNumberFormat="1" applyFont="1" applyBorder="1" applyAlignment="1">
      <alignment horizontal="left" vertical="top" wrapText="1"/>
    </xf>
    <xf numFmtId="0" fontId="18" fillId="0" borderId="1" xfId="1" applyNumberFormat="1" applyFont="1" applyFill="1" applyBorder="1" applyAlignment="1">
      <alignment horizontal="center" vertical="top" wrapText="1"/>
    </xf>
    <xf numFmtId="0" fontId="6" fillId="0" borderId="7" xfId="2" applyNumberFormat="1" applyFont="1" applyFill="1" applyBorder="1" applyAlignment="1">
      <alignment horizontal="center" vertical="top"/>
    </xf>
    <xf numFmtId="0" fontId="8" fillId="0" borderId="1" xfId="2" applyNumberFormat="1" applyFont="1" applyFill="1" applyBorder="1" applyAlignment="1">
      <alignment horizontal="left" vertical="top"/>
    </xf>
    <xf numFmtId="0" fontId="10" fillId="0" borderId="6" xfId="3" applyNumberFormat="1" applyFont="1" applyFill="1" applyBorder="1" applyAlignment="1">
      <alignment horizontal="left" vertical="top" wrapText="1" indent="2"/>
    </xf>
    <xf numFmtId="165" fontId="10" fillId="0" borderId="1" xfId="1" applyNumberFormat="1" applyFont="1" applyFill="1" applyBorder="1" applyAlignment="1">
      <alignment vertical="top"/>
    </xf>
    <xf numFmtId="0" fontId="8" fillId="0" borderId="3" xfId="2" applyNumberFormat="1" applyFont="1" applyFill="1" applyBorder="1" applyAlignment="1">
      <alignment horizontal="left" vertical="top"/>
    </xf>
    <xf numFmtId="0" fontId="10" fillId="0" borderId="8" xfId="3" applyNumberFormat="1" applyFont="1" applyFill="1" applyBorder="1" applyAlignment="1">
      <alignment horizontal="left" vertical="top" wrapText="1" indent="2"/>
    </xf>
    <xf numFmtId="0" fontId="6" fillId="0" borderId="3" xfId="2" applyNumberFormat="1" applyFont="1" applyFill="1" applyBorder="1" applyAlignment="1">
      <alignment horizontal="center" vertical="top"/>
    </xf>
    <xf numFmtId="0" fontId="8" fillId="0" borderId="1" xfId="2" applyNumberFormat="1" applyFont="1" applyFill="1" applyBorder="1" applyAlignment="1">
      <alignment horizontal="left" vertical="top" wrapText="1"/>
    </xf>
    <xf numFmtId="165" fontId="8" fillId="0" borderId="1" xfId="1" applyNumberFormat="1" applyFont="1" applyFill="1" applyBorder="1" applyAlignment="1">
      <alignment vertical="top"/>
    </xf>
    <xf numFmtId="164" fontId="8" fillId="0" borderId="1" xfId="1" applyNumberFormat="1" applyFont="1" applyFill="1" applyBorder="1" applyAlignment="1">
      <alignment horizontal="center" vertical="top" wrapText="1"/>
    </xf>
    <xf numFmtId="0" fontId="10" fillId="0" borderId="1" xfId="1" applyNumberFormat="1" applyFont="1" applyFill="1" applyBorder="1" applyAlignment="1">
      <alignment horizontal="left" vertical="top" wrapText="1"/>
    </xf>
    <xf numFmtId="0" fontId="22" fillId="0" borderId="6" xfId="3" applyFont="1" applyFill="1" applyBorder="1" applyAlignment="1">
      <alignment horizontal="center" vertical="top" wrapText="1"/>
    </xf>
    <xf numFmtId="0" fontId="22" fillId="0" borderId="6" xfId="3" applyNumberFormat="1" applyFont="1" applyFill="1" applyBorder="1" applyAlignment="1">
      <alignment horizontal="center" vertical="top" wrapText="1"/>
    </xf>
    <xf numFmtId="0" fontId="10" fillId="0" borderId="6" xfId="3" applyNumberFormat="1" applyFont="1" applyFill="1" applyBorder="1" applyAlignment="1">
      <alignment horizontal="left" vertical="top" wrapText="1"/>
    </xf>
    <xf numFmtId="0" fontId="22" fillId="0" borderId="6" xfId="3" applyFont="1" applyFill="1" applyBorder="1" applyAlignment="1">
      <alignment horizontal="left" vertical="top" wrapText="1"/>
    </xf>
    <xf numFmtId="0" fontId="2" fillId="0" borderId="1" xfId="2" applyNumberFormat="1" applyFont="1" applyFill="1" applyBorder="1" applyAlignment="1">
      <alignment horizontal="center" vertical="top" wrapText="1"/>
    </xf>
    <xf numFmtId="0" fontId="2" fillId="0" borderId="1" xfId="2" applyNumberFormat="1" applyFont="1" applyFill="1" applyBorder="1" applyAlignment="1">
      <alignment horizontal="left" vertical="top" wrapText="1"/>
    </xf>
    <xf numFmtId="0" fontId="6" fillId="0" borderId="1" xfId="1" applyNumberFormat="1" applyFont="1" applyFill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vertical="top" wrapText="1"/>
    </xf>
    <xf numFmtId="0" fontId="8" fillId="0" borderId="1" xfId="0" applyNumberFormat="1" applyFont="1" applyBorder="1" applyAlignment="1">
      <alignment horizontal="left" vertical="top" wrapText="1" indent="2"/>
    </xf>
    <xf numFmtId="0" fontId="8" fillId="0" borderId="3" xfId="2" applyNumberFormat="1" applyFont="1" applyFill="1" applyBorder="1" applyAlignment="1">
      <alignment horizontal="left" vertical="top" wrapText="1"/>
    </xf>
    <xf numFmtId="0" fontId="20" fillId="0" borderId="0" xfId="0" applyNumberFormat="1" applyFont="1" applyAlignment="1">
      <alignment vertical="top" wrapText="1"/>
    </xf>
    <xf numFmtId="165" fontId="17" fillId="0" borderId="1" xfId="1" applyNumberFormat="1" applyFont="1" applyFill="1" applyBorder="1" applyAlignment="1">
      <alignment horizontal="center" vertical="top" wrapText="1"/>
    </xf>
    <xf numFmtId="0" fontId="8" fillId="0" borderId="1" xfId="1" applyNumberFormat="1" applyFont="1" applyFill="1" applyBorder="1" applyAlignment="1">
      <alignment horizontal="left" vertical="top" wrapText="1"/>
    </xf>
    <xf numFmtId="0" fontId="2" fillId="0" borderId="2" xfId="2" applyNumberFormat="1" applyFont="1" applyFill="1" applyBorder="1" applyAlignment="1">
      <alignment horizontal="center" vertical="top"/>
    </xf>
    <xf numFmtId="0" fontId="2" fillId="0" borderId="1" xfId="0" applyNumberFormat="1" applyFont="1" applyBorder="1" applyAlignment="1">
      <alignment vertical="top" wrapText="1"/>
    </xf>
    <xf numFmtId="0" fontId="19" fillId="0" borderId="1" xfId="1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Alignment="1">
      <alignment vertical="top" wrapText="1"/>
    </xf>
    <xf numFmtId="0" fontId="22" fillId="0" borderId="1" xfId="0" applyNumberFormat="1" applyFont="1" applyFill="1" applyBorder="1" applyAlignment="1">
      <alignment horizontal="left" vertical="top" wrapText="1"/>
    </xf>
    <xf numFmtId="165" fontId="23" fillId="0" borderId="1" xfId="1" applyNumberFormat="1" applyFont="1" applyFill="1" applyBorder="1" applyAlignment="1">
      <alignment horizontal="left" vertical="top" wrapText="1"/>
    </xf>
    <xf numFmtId="0" fontId="22" fillId="0" borderId="6" xfId="3" applyNumberFormat="1" applyFont="1" applyBorder="1" applyAlignment="1">
      <alignment horizontal="center" vertical="top" wrapText="1"/>
    </xf>
    <xf numFmtId="0" fontId="20" fillId="0" borderId="0" xfId="0" applyNumberFormat="1" applyFont="1" applyAlignment="1">
      <alignment horizontal="center" vertical="top" wrapText="1"/>
    </xf>
    <xf numFmtId="0" fontId="20" fillId="0" borderId="0" xfId="0" applyNumberFormat="1" applyFont="1" applyAlignment="1">
      <alignment horizontal="left" vertical="top" wrapText="1"/>
    </xf>
    <xf numFmtId="0" fontId="19" fillId="0" borderId="1" xfId="0" applyNumberFormat="1" applyFont="1" applyBorder="1" applyAlignment="1">
      <alignment horizontal="center" vertical="top" wrapText="1"/>
    </xf>
    <xf numFmtId="0" fontId="49" fillId="0" borderId="7" xfId="0" applyNumberFormat="1" applyFont="1" applyBorder="1" applyAlignment="1">
      <alignment horizontal="center" vertical="top" wrapText="1"/>
    </xf>
    <xf numFmtId="0" fontId="18" fillId="0" borderId="7" xfId="0" applyNumberFormat="1" applyFont="1" applyBorder="1" applyAlignment="1">
      <alignment horizontal="center" vertical="top" wrapText="1"/>
    </xf>
    <xf numFmtId="0" fontId="18" fillId="0" borderId="1" xfId="0" applyNumberFormat="1" applyFont="1" applyBorder="1" applyAlignment="1">
      <alignment horizontal="center" vertical="top" wrapText="1"/>
    </xf>
    <xf numFmtId="0" fontId="18" fillId="0" borderId="8" xfId="0" applyNumberFormat="1" applyFont="1" applyBorder="1" applyAlignment="1">
      <alignment horizontal="center" vertical="top" wrapText="1"/>
    </xf>
    <xf numFmtId="165" fontId="19" fillId="0" borderId="1" xfId="0" applyNumberFormat="1" applyFont="1" applyBorder="1" applyAlignment="1">
      <alignment horizontal="center" vertical="top" wrapText="1"/>
    </xf>
    <xf numFmtId="165" fontId="18" fillId="0" borderId="1" xfId="0" applyNumberFormat="1" applyFont="1" applyBorder="1" applyAlignment="1">
      <alignment horizontal="center" vertical="top" wrapText="1"/>
    </xf>
    <xf numFmtId="43" fontId="18" fillId="0" borderId="1" xfId="0" applyNumberFormat="1" applyFont="1" applyBorder="1" applyAlignment="1">
      <alignment horizontal="center" vertical="top" wrapText="1"/>
    </xf>
    <xf numFmtId="0" fontId="21" fillId="0" borderId="1" xfId="0" applyNumberFormat="1" applyFont="1" applyFill="1" applyBorder="1" applyAlignment="1">
      <alignment horizontal="center" vertical="top" wrapText="1"/>
    </xf>
    <xf numFmtId="0" fontId="21" fillId="0" borderId="1" xfId="0" applyNumberFormat="1" applyFont="1" applyFill="1" applyBorder="1" applyAlignment="1">
      <alignment horizontal="left" vertical="top" wrapText="1"/>
    </xf>
    <xf numFmtId="0" fontId="18" fillId="0" borderId="7" xfId="2" applyNumberFormat="1" applyFont="1" applyFill="1" applyBorder="1" applyAlignment="1">
      <alignment horizontal="center" vertical="top"/>
    </xf>
    <xf numFmtId="0" fontId="17" fillId="3" borderId="3" xfId="0" applyNumberFormat="1" applyFont="1" applyFill="1" applyBorder="1" applyAlignment="1">
      <alignment horizontal="left" vertical="top" wrapText="1" indent="1"/>
    </xf>
    <xf numFmtId="0" fontId="17" fillId="3" borderId="3" xfId="0" applyNumberFormat="1" applyFont="1" applyFill="1" applyBorder="1" applyAlignment="1">
      <alignment vertical="top" wrapText="1"/>
    </xf>
    <xf numFmtId="164" fontId="22" fillId="3" borderId="3" xfId="1" applyNumberFormat="1" applyFont="1" applyFill="1" applyBorder="1" applyAlignment="1">
      <alignment horizontal="center" vertical="top" wrapText="1"/>
    </xf>
    <xf numFmtId="164" fontId="17" fillId="3" borderId="3" xfId="1" applyNumberFormat="1" applyFont="1" applyFill="1" applyBorder="1" applyAlignment="1">
      <alignment horizontal="center" vertical="top" wrapText="1"/>
    </xf>
    <xf numFmtId="165" fontId="17" fillId="3" borderId="3" xfId="1" applyNumberFormat="1" applyFont="1" applyFill="1" applyBorder="1" applyAlignment="1">
      <alignment horizontal="center" vertical="top" wrapText="1"/>
    </xf>
    <xf numFmtId="0" fontId="17" fillId="0" borderId="3" xfId="1" applyNumberFormat="1" applyFont="1" applyFill="1" applyBorder="1" applyAlignment="1">
      <alignment horizontal="center" vertical="top" wrapText="1"/>
    </xf>
    <xf numFmtId="0" fontId="17" fillId="0" borderId="1" xfId="0" applyNumberFormat="1" applyFont="1" applyBorder="1" applyAlignment="1">
      <alignment horizontal="left" vertical="top" wrapText="1" indent="2"/>
    </xf>
    <xf numFmtId="0" fontId="22" fillId="0" borderId="1" xfId="0" applyNumberFormat="1" applyFont="1" applyBorder="1" applyAlignment="1">
      <alignment horizontal="left" vertical="top" wrapText="1" indent="4"/>
    </xf>
    <xf numFmtId="0" fontId="22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top" wrapText="1"/>
    </xf>
    <xf numFmtId="0" fontId="22" fillId="0" borderId="0" xfId="0" applyNumberFormat="1" applyFont="1" applyFill="1" applyAlignment="1">
      <alignment vertical="top" wrapText="1"/>
    </xf>
    <xf numFmtId="0" fontId="22" fillId="0" borderId="3" xfId="0" applyNumberFormat="1" applyFont="1" applyFill="1" applyBorder="1" applyAlignment="1">
      <alignment horizontal="left" vertical="top" wrapText="1"/>
    </xf>
    <xf numFmtId="0" fontId="22" fillId="0" borderId="3" xfId="0" applyNumberFormat="1" applyFont="1" applyFill="1" applyBorder="1" applyAlignment="1">
      <alignment vertical="top" wrapText="1"/>
    </xf>
    <xf numFmtId="0" fontId="22" fillId="0" borderId="1" xfId="0" applyNumberFormat="1" applyFont="1" applyBorder="1" applyAlignment="1">
      <alignment horizontal="center" vertical="top" wrapText="1"/>
    </xf>
    <xf numFmtId="0" fontId="19" fillId="0" borderId="6" xfId="0" applyNumberFormat="1" applyFont="1" applyFill="1" applyBorder="1" applyAlignment="1">
      <alignment vertical="top" wrapText="1"/>
    </xf>
    <xf numFmtId="0" fontId="22" fillId="0" borderId="6" xfId="0" applyNumberFormat="1" applyFont="1" applyFill="1" applyBorder="1" applyAlignment="1">
      <alignment vertical="top" wrapText="1"/>
    </xf>
    <xf numFmtId="0" fontId="22" fillId="0" borderId="6" xfId="0" applyFont="1" applyFill="1" applyBorder="1" applyAlignment="1">
      <alignment vertical="top" wrapText="1"/>
    </xf>
    <xf numFmtId="0" fontId="22" fillId="0" borderId="1" xfId="0" applyNumberFormat="1" applyFont="1" applyFill="1" applyBorder="1" applyAlignment="1">
      <alignment horizontal="left" vertical="top" wrapText="1" indent="1"/>
    </xf>
    <xf numFmtId="0" fontId="17" fillId="0" borderId="3" xfId="2" applyNumberFormat="1" applyFont="1" applyFill="1" applyBorder="1" applyAlignment="1">
      <alignment horizontal="left" vertical="top"/>
    </xf>
    <xf numFmtId="0" fontId="17" fillId="0" borderId="1" xfId="2" applyNumberFormat="1" applyFont="1" applyFill="1" applyBorder="1" applyAlignment="1">
      <alignment horizontal="left" vertical="top" wrapText="1"/>
    </xf>
    <xf numFmtId="0" fontId="17" fillId="0" borderId="6" xfId="3" applyNumberFormat="1" applyFont="1" applyFill="1" applyBorder="1" applyAlignment="1">
      <alignment horizontal="left" vertical="top" indent="1"/>
    </xf>
    <xf numFmtId="0" fontId="18" fillId="0" borderId="7" xfId="2" applyNumberFormat="1" applyFont="1" applyFill="1" applyBorder="1" applyAlignment="1">
      <alignment horizontal="center" vertical="top" wrapText="1"/>
    </xf>
    <xf numFmtId="0" fontId="17" fillId="0" borderId="6" xfId="3" applyNumberFormat="1" applyFont="1" applyFill="1" applyBorder="1" applyAlignment="1">
      <alignment vertical="top" wrapText="1"/>
    </xf>
    <xf numFmtId="165" fontId="17" fillId="0" borderId="1" xfId="1" applyNumberFormat="1" applyFont="1" applyFill="1" applyBorder="1" applyAlignment="1">
      <alignment vertical="top" wrapText="1"/>
    </xf>
    <xf numFmtId="0" fontId="22" fillId="0" borderId="6" xfId="3" applyNumberFormat="1" applyFont="1" applyFill="1" applyBorder="1" applyAlignment="1">
      <alignment horizontal="left" vertical="top" wrapText="1" indent="2"/>
    </xf>
    <xf numFmtId="0" fontId="22" fillId="0" borderId="1" xfId="2" applyNumberFormat="1" applyFont="1" applyFill="1" applyBorder="1" applyAlignment="1">
      <alignment vertical="top" wrapText="1"/>
    </xf>
    <xf numFmtId="0" fontId="22" fillId="0" borderId="3" xfId="0" applyFont="1" applyFill="1" applyBorder="1" applyAlignment="1">
      <alignment horizontal="left" vertical="top" wrapText="1"/>
    </xf>
    <xf numFmtId="0" fontId="22" fillId="0" borderId="1" xfId="2" applyNumberFormat="1" applyFont="1" applyFill="1" applyBorder="1" applyAlignment="1">
      <alignment horizontal="left" vertical="top" wrapText="1"/>
    </xf>
    <xf numFmtId="0" fontId="22" fillId="0" borderId="6" xfId="3" applyNumberFormat="1" applyFont="1" applyFill="1" applyBorder="1" applyAlignment="1">
      <alignment horizontal="left" vertical="top" wrapText="1"/>
    </xf>
    <xf numFmtId="0" fontId="21" fillId="0" borderId="1" xfId="2" applyNumberFormat="1" applyFont="1" applyFill="1" applyBorder="1" applyAlignment="1">
      <alignment horizontal="left" vertical="top" wrapText="1"/>
    </xf>
    <xf numFmtId="0" fontId="22" fillId="0" borderId="3" xfId="0" applyNumberFormat="1" applyFont="1" applyFill="1" applyBorder="1" applyAlignment="1">
      <alignment horizontal="center" vertical="top" wrapText="1"/>
    </xf>
    <xf numFmtId="0" fontId="22" fillId="0" borderId="1" xfId="0" applyNumberFormat="1" applyFont="1" applyFill="1" applyBorder="1" applyAlignment="1">
      <alignment horizontal="center" vertical="top" wrapText="1"/>
    </xf>
    <xf numFmtId="0" fontId="20" fillId="0" borderId="6" xfId="0" applyNumberFormat="1" applyFont="1" applyFill="1" applyBorder="1" applyAlignment="1">
      <alignment vertical="top" wrapText="1"/>
    </xf>
    <xf numFmtId="0" fontId="17" fillId="0" borderId="7" xfId="2" applyNumberFormat="1" applyFont="1" applyFill="1" applyBorder="1" applyAlignment="1">
      <alignment horizontal="left" vertical="top"/>
    </xf>
    <xf numFmtId="0" fontId="17" fillId="0" borderId="6" xfId="0" applyNumberFormat="1" applyFont="1" applyFill="1" applyBorder="1" applyAlignment="1">
      <alignment horizontal="left" vertical="top" wrapText="1" indent="2"/>
    </xf>
    <xf numFmtId="0" fontId="17" fillId="0" borderId="6" xfId="0" applyNumberFormat="1" applyFont="1" applyFill="1" applyBorder="1" applyAlignment="1">
      <alignment horizontal="left" vertical="top"/>
    </xf>
    <xf numFmtId="0" fontId="20" fillId="0" borderId="0" xfId="0" applyNumberFormat="1" applyFont="1" applyFill="1" applyAlignment="1">
      <alignment vertical="top"/>
    </xf>
    <xf numFmtId="0" fontId="20" fillId="0" borderId="1" xfId="0" applyNumberFormat="1" applyFont="1" applyFill="1" applyBorder="1" applyAlignment="1">
      <alignment horizontal="left" vertical="top" wrapText="1" indent="2"/>
    </xf>
    <xf numFmtId="0" fontId="18" fillId="0" borderId="1" xfId="0" applyNumberFormat="1" applyFont="1" applyFill="1" applyBorder="1" applyAlignment="1">
      <alignment vertical="top" wrapText="1"/>
    </xf>
    <xf numFmtId="0" fontId="19" fillId="0" borderId="3" xfId="0" applyNumberFormat="1" applyFont="1" applyBorder="1" applyAlignment="1">
      <alignment vertical="top" wrapText="1"/>
    </xf>
    <xf numFmtId="0" fontId="20" fillId="0" borderId="7" xfId="2" applyNumberFormat="1" applyFont="1" applyFill="1" applyBorder="1" applyAlignment="1">
      <alignment horizontal="center" vertical="top"/>
    </xf>
    <xf numFmtId="0" fontId="22" fillId="0" borderId="3" xfId="0" applyNumberFormat="1" applyFont="1" applyFill="1" applyBorder="1" applyAlignment="1">
      <alignment horizontal="left" vertical="top" wrapText="1"/>
    </xf>
    <xf numFmtId="0" fontId="19" fillId="0" borderId="1" xfId="0" applyNumberFormat="1" applyFont="1" applyBorder="1" applyAlignment="1">
      <alignment vertical="top" wrapText="1"/>
    </xf>
    <xf numFmtId="0" fontId="22" fillId="0" borderId="3" xfId="0" applyNumberFormat="1" applyFont="1" applyBorder="1" applyAlignment="1">
      <alignment horizontal="left" vertical="top" wrapText="1" indent="1"/>
    </xf>
    <xf numFmtId="0" fontId="22" fillId="0" borderId="3" xfId="0" applyNumberFormat="1" applyFont="1" applyFill="1" applyBorder="1" applyAlignment="1">
      <alignment horizontal="left" vertical="top" wrapText="1" indent="1"/>
    </xf>
    <xf numFmtId="0" fontId="22" fillId="0" borderId="3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left" vertical="top" indent="1"/>
    </xf>
    <xf numFmtId="0" fontId="22" fillId="0" borderId="0" xfId="0" applyNumberFormat="1" applyFont="1" applyAlignment="1">
      <alignment vertical="top"/>
    </xf>
    <xf numFmtId="0" fontId="22" fillId="0" borderId="4" xfId="0" applyNumberFormat="1" applyFont="1" applyFill="1" applyBorder="1" applyAlignment="1">
      <alignment vertical="top" wrapText="1"/>
    </xf>
    <xf numFmtId="0" fontId="21" fillId="0" borderId="1" xfId="0" applyNumberFormat="1" applyFont="1" applyBorder="1" applyAlignment="1">
      <alignment horizontal="left" vertical="top" wrapText="1"/>
    </xf>
    <xf numFmtId="0" fontId="22" fillId="0" borderId="1" xfId="2" applyNumberFormat="1" applyFont="1" applyFill="1" applyBorder="1" applyAlignment="1">
      <alignment horizontal="center" vertical="top" wrapText="1"/>
    </xf>
    <xf numFmtId="0" fontId="22" fillId="0" borderId="4" xfId="0" applyNumberFormat="1" applyFont="1" applyBorder="1" applyAlignment="1">
      <alignment horizontal="left" vertical="top" wrapText="1"/>
    </xf>
    <xf numFmtId="0" fontId="22" fillId="0" borderId="5" xfId="0" applyNumberFormat="1" applyFont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 indent="1"/>
    </xf>
    <xf numFmtId="0" fontId="22" fillId="0" borderId="0" xfId="0" applyFont="1" applyFill="1" applyAlignment="1">
      <alignment vertical="top" wrapText="1"/>
    </xf>
    <xf numFmtId="0" fontId="22" fillId="0" borderId="1" xfId="3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vertical="top" wrapText="1"/>
    </xf>
    <xf numFmtId="0" fontId="22" fillId="0" borderId="6" xfId="3" applyNumberFormat="1" applyFont="1" applyBorder="1" applyAlignment="1">
      <alignment horizontal="left" vertical="top" wrapText="1"/>
    </xf>
    <xf numFmtId="0" fontId="22" fillId="0" borderId="0" xfId="0" applyFont="1" applyFill="1" applyAlignment="1">
      <alignment horizontal="left" vertical="top" wrapText="1"/>
    </xf>
    <xf numFmtId="0" fontId="48" fillId="0" borderId="1" xfId="1" applyNumberFormat="1" applyFont="1" applyFill="1" applyBorder="1" applyAlignment="1">
      <alignment horizontal="left" vertical="top" wrapText="1"/>
    </xf>
    <xf numFmtId="0" fontId="23" fillId="0" borderId="1" xfId="1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8" fillId="0" borderId="0" xfId="0" applyNumberFormat="1" applyFont="1" applyAlignment="1">
      <alignment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2" fillId="0" borderId="2" xfId="2" applyNumberFormat="1" applyFont="1" applyFill="1" applyBorder="1" applyAlignment="1">
      <alignment vertical="top" wrapText="1"/>
    </xf>
    <xf numFmtId="0" fontId="2" fillId="0" borderId="7" xfId="2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3" xfId="0" applyNumberFormat="1" applyFont="1" applyBorder="1" applyAlignment="1">
      <alignment vertical="top" wrapText="1"/>
    </xf>
    <xf numFmtId="0" fontId="8" fillId="3" borderId="3" xfId="0" applyNumberFormat="1" applyFont="1" applyFill="1" applyBorder="1" applyAlignment="1">
      <alignment horizontal="left" vertical="top" wrapText="1" indent="1"/>
    </xf>
    <xf numFmtId="0" fontId="8" fillId="3" borderId="3" xfId="0" applyNumberFormat="1" applyFont="1" applyFill="1" applyBorder="1" applyAlignment="1">
      <alignment vertical="top" wrapText="1"/>
    </xf>
    <xf numFmtId="164" fontId="10" fillId="3" borderId="3" xfId="1" applyNumberFormat="1" applyFont="1" applyFill="1" applyBorder="1" applyAlignment="1">
      <alignment horizontal="center" vertical="top" wrapText="1"/>
    </xf>
    <xf numFmtId="164" fontId="8" fillId="3" borderId="3" xfId="1" applyNumberFormat="1" applyFont="1" applyFill="1" applyBorder="1" applyAlignment="1">
      <alignment horizontal="center" vertical="top" wrapText="1"/>
    </xf>
    <xf numFmtId="165" fontId="8" fillId="3" borderId="3" xfId="1" applyNumberFormat="1" applyFont="1" applyFill="1" applyBorder="1" applyAlignment="1">
      <alignment horizontal="center" vertical="top" wrapText="1"/>
    </xf>
    <xf numFmtId="0" fontId="8" fillId="0" borderId="3" xfId="1" applyNumberFormat="1" applyFont="1" applyFill="1" applyBorder="1" applyAlignment="1">
      <alignment horizontal="center" vertical="top" wrapText="1"/>
    </xf>
    <xf numFmtId="0" fontId="8" fillId="0" borderId="1" xfId="0" applyNumberFormat="1" applyFont="1" applyBorder="1" applyAlignment="1">
      <alignment vertical="top" wrapText="1"/>
    </xf>
    <xf numFmtId="0" fontId="8" fillId="0" borderId="1" xfId="0" applyNumberFormat="1" applyFont="1" applyBorder="1" applyAlignment="1">
      <alignment horizontal="left" vertical="top" wrapText="1" indent="1"/>
    </xf>
    <xf numFmtId="0" fontId="10" fillId="0" borderId="1" xfId="0" applyFont="1" applyFill="1" applyBorder="1" applyAlignment="1">
      <alignment horizontal="left" vertical="top" wrapText="1" indent="2"/>
    </xf>
    <xf numFmtId="0" fontId="2" fillId="0" borderId="3" xfId="2" applyNumberFormat="1" applyFont="1" applyFill="1" applyBorder="1" applyAlignment="1">
      <alignment horizontal="center" vertical="top"/>
    </xf>
    <xf numFmtId="0" fontId="3" fillId="0" borderId="2" xfId="2" applyNumberFormat="1" applyFont="1" applyFill="1" applyBorder="1" applyAlignment="1">
      <alignment horizontal="center" vertical="top"/>
    </xf>
    <xf numFmtId="0" fontId="6" fillId="0" borderId="6" xfId="0" applyNumberFormat="1" applyFont="1" applyFill="1" applyBorder="1" applyAlignment="1">
      <alignment vertical="top" wrapText="1"/>
    </xf>
    <xf numFmtId="0" fontId="8" fillId="0" borderId="8" xfId="3" applyNumberFormat="1" applyFont="1" applyFill="1" applyBorder="1" applyAlignment="1">
      <alignment vertical="top"/>
    </xf>
    <xf numFmtId="0" fontId="8" fillId="0" borderId="6" xfId="3" applyNumberFormat="1" applyFont="1" applyFill="1" applyBorder="1" applyAlignment="1">
      <alignment vertical="top"/>
    </xf>
    <xf numFmtId="165" fontId="3" fillId="0" borderId="1" xfId="1" applyNumberFormat="1" applyFont="1" applyFill="1" applyBorder="1" applyAlignment="1">
      <alignment vertical="top"/>
    </xf>
    <xf numFmtId="0" fontId="8" fillId="0" borderId="1" xfId="2" applyNumberFormat="1" applyFont="1" applyFill="1" applyBorder="1" applyAlignment="1">
      <alignment horizontal="left" vertical="top" wrapText="1" indent="1"/>
    </xf>
    <xf numFmtId="0" fontId="8" fillId="0" borderId="6" xfId="3" applyNumberFormat="1" applyFont="1" applyFill="1" applyBorder="1" applyAlignment="1">
      <alignment horizontal="left" vertical="top" indent="1"/>
    </xf>
    <xf numFmtId="0" fontId="8" fillId="0" borderId="8" xfId="3" applyNumberFormat="1" applyFont="1" applyFill="1" applyBorder="1" applyAlignment="1">
      <alignment horizontal="left" vertical="top" indent="1"/>
    </xf>
    <xf numFmtId="0" fontId="6" fillId="0" borderId="2" xfId="2" applyNumberFormat="1" applyFont="1" applyFill="1" applyBorder="1" applyAlignment="1">
      <alignment horizontal="center" vertical="top"/>
    </xf>
    <xf numFmtId="0" fontId="17" fillId="0" borderId="6" xfId="2" applyNumberFormat="1" applyFont="1" applyFill="1" applyBorder="1" applyAlignment="1">
      <alignment horizontal="left" vertical="top" wrapText="1"/>
    </xf>
    <xf numFmtId="3" fontId="8" fillId="0" borderId="1" xfId="3" applyNumberFormat="1" applyFont="1" applyBorder="1" applyAlignment="1">
      <alignment vertical="top"/>
    </xf>
    <xf numFmtId="0" fontId="10" fillId="0" borderId="6" xfId="0" applyNumberFormat="1" applyFont="1" applyFill="1" applyBorder="1" applyAlignment="1">
      <alignment horizontal="left" vertical="top" wrapText="1" indent="2"/>
    </xf>
    <xf numFmtId="165" fontId="9" fillId="0" borderId="1" xfId="1" quotePrefix="1" applyNumberFormat="1" applyFont="1" applyFill="1" applyBorder="1" applyAlignment="1">
      <alignment vertical="top" wrapText="1"/>
    </xf>
    <xf numFmtId="0" fontId="2" fillId="0" borderId="2" xfId="2" applyNumberFormat="1" applyFont="1" applyFill="1" applyBorder="1" applyAlignment="1">
      <alignment horizontal="center" vertical="top" wrapText="1"/>
    </xf>
    <xf numFmtId="0" fontId="2" fillId="0" borderId="2" xfId="2" applyNumberFormat="1" applyFont="1" applyFill="1" applyBorder="1" applyAlignment="1">
      <alignment horizontal="left" vertical="top" wrapText="1"/>
    </xf>
    <xf numFmtId="0" fontId="3" fillId="0" borderId="6" xfId="0" applyNumberFormat="1" applyFont="1" applyFill="1" applyBorder="1" applyAlignment="1">
      <alignment vertical="top" wrapText="1"/>
    </xf>
    <xf numFmtId="0" fontId="10" fillId="0" borderId="6" xfId="0" applyNumberFormat="1" applyFont="1" applyFill="1" applyBorder="1" applyAlignment="1">
      <alignment horizontal="left" vertical="top" wrapText="1"/>
    </xf>
    <xf numFmtId="0" fontId="10" fillId="0" borderId="6" xfId="0" applyNumberFormat="1" applyFont="1" applyFill="1" applyBorder="1" applyAlignment="1">
      <alignment horizontal="center" vertical="top" wrapText="1"/>
    </xf>
    <xf numFmtId="0" fontId="10" fillId="0" borderId="8" xfId="0" applyNumberFormat="1" applyFont="1" applyFill="1" applyBorder="1" applyAlignment="1">
      <alignment horizontal="left" vertical="top" wrapText="1"/>
    </xf>
    <xf numFmtId="0" fontId="8" fillId="0" borderId="7" xfId="2" applyNumberFormat="1" applyFont="1" applyFill="1" applyBorder="1" applyAlignment="1">
      <alignment horizontal="left" vertical="top"/>
    </xf>
    <xf numFmtId="165" fontId="8" fillId="0" borderId="1" xfId="1" applyNumberFormat="1" applyFont="1" applyFill="1" applyBorder="1" applyAlignment="1">
      <alignment horizontal="center" vertical="top"/>
    </xf>
    <xf numFmtId="0" fontId="8" fillId="0" borderId="1" xfId="1" applyNumberFormat="1" applyFont="1" applyFill="1" applyBorder="1" applyAlignment="1">
      <alignment horizontal="center" vertical="top"/>
    </xf>
    <xf numFmtId="0" fontId="10" fillId="0" borderId="6" xfId="0" applyNumberFormat="1" applyFont="1" applyFill="1" applyBorder="1" applyAlignment="1">
      <alignment vertical="top" shrinkToFit="1"/>
    </xf>
    <xf numFmtId="0" fontId="10" fillId="0" borderId="1" xfId="0" applyFont="1" applyFill="1" applyBorder="1" applyAlignment="1">
      <alignment horizontal="left" vertical="top" wrapText="1" indent="3"/>
    </xf>
    <xf numFmtId="0" fontId="8" fillId="0" borderId="6" xfId="0" applyNumberFormat="1" applyFont="1" applyFill="1" applyBorder="1" applyAlignment="1">
      <alignment vertical="top" wrapText="1"/>
    </xf>
    <xf numFmtId="0" fontId="10" fillId="0" borderId="6" xfId="0" applyNumberFormat="1" applyFont="1" applyFill="1" applyBorder="1" applyAlignment="1">
      <alignment horizontal="left" vertical="top" wrapText="1" indent="1"/>
    </xf>
    <xf numFmtId="0" fontId="20" fillId="0" borderId="6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vertical="top" wrapText="1"/>
    </xf>
    <xf numFmtId="0" fontId="13" fillId="0" borderId="7" xfId="2" applyNumberFormat="1" applyFont="1" applyFill="1" applyBorder="1" applyAlignment="1">
      <alignment horizontal="center" vertical="top"/>
    </xf>
    <xf numFmtId="165" fontId="6" fillId="0" borderId="3" xfId="1" applyNumberFormat="1" applyFont="1" applyFill="1" applyBorder="1" applyAlignment="1">
      <alignment horizontal="center" vertical="top" wrapText="1"/>
    </xf>
    <xf numFmtId="0" fontId="10" fillId="0" borderId="3" xfId="0" applyNumberFormat="1" applyFont="1" applyFill="1" applyBorder="1" applyAlignment="1">
      <alignment horizontal="left" vertical="top" wrapText="1"/>
    </xf>
    <xf numFmtId="0" fontId="10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horizontal="center" vertical="top" wrapText="1"/>
    </xf>
    <xf numFmtId="0" fontId="10" fillId="0" borderId="7" xfId="2" applyNumberFormat="1" applyFont="1" applyFill="1" applyBorder="1" applyAlignment="1">
      <alignment horizontal="center" vertical="top" wrapText="1"/>
    </xf>
    <xf numFmtId="0" fontId="10" fillId="0" borderId="7" xfId="2" applyNumberFormat="1" applyFont="1" applyFill="1" applyBorder="1" applyAlignment="1">
      <alignment horizontal="center" vertical="top"/>
    </xf>
    <xf numFmtId="0" fontId="10" fillId="0" borderId="3" xfId="2" applyNumberFormat="1" applyFont="1" applyFill="1" applyBorder="1" applyAlignment="1">
      <alignment horizontal="center" vertical="top"/>
    </xf>
    <xf numFmtId="0" fontId="13" fillId="0" borderId="3" xfId="0" applyNumberFormat="1" applyFont="1" applyFill="1" applyBorder="1" applyAlignment="1">
      <alignment horizontal="left" vertical="top" wrapText="1"/>
    </xf>
    <xf numFmtId="0" fontId="13" fillId="0" borderId="1" xfId="1" applyNumberFormat="1" applyFont="1" applyFill="1" applyBorder="1" applyAlignment="1">
      <alignment horizontal="center" vertical="top" wrapText="1"/>
    </xf>
    <xf numFmtId="0" fontId="10" fillId="0" borderId="0" xfId="0" applyNumberFormat="1" applyFont="1" applyAlignment="1">
      <alignment vertical="top"/>
    </xf>
    <xf numFmtId="0" fontId="13" fillId="0" borderId="1" xfId="1" applyNumberFormat="1" applyFont="1" applyFill="1" applyBorder="1" applyAlignment="1">
      <alignment horizontal="left" vertical="top" wrapText="1"/>
    </xf>
    <xf numFmtId="2" fontId="10" fillId="0" borderId="7" xfId="2" applyNumberFormat="1" applyFont="1" applyFill="1" applyBorder="1" applyAlignment="1">
      <alignment horizontal="center" vertical="top"/>
    </xf>
    <xf numFmtId="165" fontId="10" fillId="0" borderId="3" xfId="1" applyNumberFormat="1" applyFont="1" applyFill="1" applyBorder="1" applyAlignment="1">
      <alignment horizontal="center" vertical="top" wrapText="1"/>
    </xf>
    <xf numFmtId="0" fontId="8" fillId="0" borderId="1" xfId="2" applyNumberFormat="1" applyFont="1" applyFill="1" applyBorder="1" applyAlignment="1">
      <alignment vertical="top" wrapText="1"/>
    </xf>
    <xf numFmtId="165" fontId="9" fillId="0" borderId="1" xfId="1" applyNumberFormat="1" applyFont="1" applyBorder="1" applyAlignment="1">
      <alignment vertical="top" wrapText="1"/>
    </xf>
    <xf numFmtId="0" fontId="13" fillId="0" borderId="3" xfId="2" applyNumberFormat="1" applyFont="1" applyFill="1" applyBorder="1" applyAlignment="1">
      <alignment horizontal="center" vertical="top"/>
    </xf>
    <xf numFmtId="165" fontId="13" fillId="0" borderId="1" xfId="1" applyNumberFormat="1" applyFont="1" applyFill="1" applyBorder="1" applyAlignment="1">
      <alignment horizontal="left" vertical="top" wrapText="1"/>
    </xf>
    <xf numFmtId="2" fontId="13" fillId="0" borderId="3" xfId="2" applyNumberFormat="1" applyFont="1" applyFill="1" applyBorder="1" applyAlignment="1">
      <alignment horizontal="center" vertical="top"/>
    </xf>
    <xf numFmtId="2" fontId="13" fillId="0" borderId="7" xfId="2" applyNumberFormat="1" applyFont="1" applyFill="1" applyBorder="1" applyAlignment="1">
      <alignment horizontal="center" vertical="top"/>
    </xf>
    <xf numFmtId="0" fontId="8" fillId="0" borderId="3" xfId="2" applyNumberFormat="1" applyFont="1" applyFill="1" applyBorder="1" applyAlignment="1">
      <alignment vertical="top" wrapText="1"/>
    </xf>
    <xf numFmtId="0" fontId="13" fillId="0" borderId="1" xfId="0" applyNumberFormat="1" applyFont="1" applyFill="1" applyBorder="1" applyAlignment="1">
      <alignment horizontal="left" vertical="top" wrapText="1"/>
    </xf>
    <xf numFmtId="0" fontId="10" fillId="0" borderId="1" xfId="0" applyNumberFormat="1" applyFont="1" applyBorder="1" applyAlignment="1">
      <alignment horizontal="left" vertical="top" wrapText="1" indent="1"/>
    </xf>
    <xf numFmtId="0" fontId="10" fillId="0" borderId="7" xfId="0" applyNumberFormat="1" applyFont="1" applyFill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Alignment="1">
      <alignment horizontal="left" vertical="top" wrapText="1"/>
    </xf>
    <xf numFmtId="166" fontId="13" fillId="0" borderId="3" xfId="2" applyNumberFormat="1" applyFont="1" applyFill="1" applyBorder="1" applyAlignment="1">
      <alignment horizontal="center" vertical="top"/>
    </xf>
    <xf numFmtId="0" fontId="9" fillId="0" borderId="1" xfId="1" applyNumberFormat="1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left" vertical="top" wrapText="1" indent="2"/>
    </xf>
    <xf numFmtId="0" fontId="10" fillId="0" borderId="6" xfId="3" applyNumberFormat="1" applyFont="1" applyBorder="1" applyAlignment="1">
      <alignment horizontal="center" vertical="top" wrapText="1"/>
    </xf>
    <xf numFmtId="0" fontId="5" fillId="0" borderId="1" xfId="1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2" applyNumberFormat="1" applyFont="1" applyFill="1" applyBorder="1" applyAlignment="1">
      <alignment horizontal="center" vertical="top"/>
    </xf>
    <xf numFmtId="0" fontId="2" fillId="0" borderId="1" xfId="2" applyNumberFormat="1" applyFont="1" applyFill="1" applyBorder="1" applyAlignment="1">
      <alignment horizontal="left" vertical="top"/>
    </xf>
    <xf numFmtId="0" fontId="8" fillId="0" borderId="1" xfId="1" applyNumberFormat="1" applyFont="1" applyFill="1" applyBorder="1" applyAlignment="1">
      <alignment vertical="top" wrapText="1"/>
    </xf>
    <xf numFmtId="166" fontId="13" fillId="0" borderId="7" xfId="2" applyNumberFormat="1" applyFont="1" applyFill="1" applyBorder="1" applyAlignment="1">
      <alignment horizontal="center" vertical="top"/>
    </xf>
    <xf numFmtId="0" fontId="8" fillId="0" borderId="1" xfId="2" applyFont="1" applyFill="1" applyBorder="1" applyAlignment="1">
      <alignment horizontal="left" vertical="top" wrapText="1"/>
    </xf>
    <xf numFmtId="0" fontId="10" fillId="0" borderId="6" xfId="3" applyNumberFormat="1" applyFont="1" applyBorder="1" applyAlignment="1">
      <alignment horizontal="left" vertical="top" wrapText="1"/>
    </xf>
    <xf numFmtId="0" fontId="52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top" wrapText="1"/>
    </xf>
    <xf numFmtId="0" fontId="2" fillId="7" borderId="1" xfId="2" applyFont="1" applyFill="1" applyBorder="1" applyAlignment="1">
      <alignment horizontal="center" vertical="top"/>
    </xf>
    <xf numFmtId="0" fontId="2" fillId="7" borderId="1" xfId="2" applyFont="1" applyFill="1" applyBorder="1" applyAlignment="1">
      <alignment vertical="top"/>
    </xf>
    <xf numFmtId="49" fontId="2" fillId="7" borderId="5" xfId="0" applyNumberFormat="1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center" vertical="top" wrapText="1"/>
    </xf>
    <xf numFmtId="164" fontId="3" fillId="7" borderId="1" xfId="1" applyNumberFormat="1" applyFont="1" applyFill="1" applyBorder="1" applyAlignment="1">
      <alignment horizontal="left" vertical="top" wrapText="1" indent="2"/>
    </xf>
    <xf numFmtId="165" fontId="2" fillId="7" borderId="1" xfId="1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left" vertical="top" wrapText="1" indent="1"/>
    </xf>
    <xf numFmtId="49" fontId="6" fillId="0" borderId="1" xfId="0" applyNumberFormat="1" applyFont="1" applyFill="1" applyBorder="1" applyAlignment="1">
      <alignment horizontal="left" vertical="top" wrapText="1" indent="2"/>
    </xf>
    <xf numFmtId="49" fontId="6" fillId="0" borderId="1" xfId="0" applyNumberFormat="1" applyFont="1" applyFill="1" applyBorder="1" applyAlignment="1">
      <alignment horizontal="left" vertical="top" wrapText="1" indent="4"/>
    </xf>
    <xf numFmtId="168" fontId="10" fillId="0" borderId="0" xfId="0" applyNumberFormat="1" applyFont="1" applyAlignment="1">
      <alignment vertical="top"/>
    </xf>
    <xf numFmtId="0" fontId="11" fillId="0" borderId="1" xfId="0" applyNumberFormat="1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left" vertical="top" wrapText="1" indent="7"/>
    </xf>
    <xf numFmtId="49" fontId="10" fillId="0" borderId="1" xfId="0" applyNumberFormat="1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left" vertical="top" wrapText="1" indent="5"/>
    </xf>
    <xf numFmtId="49" fontId="10" fillId="0" borderId="1" xfId="2" applyNumberFormat="1" applyFont="1" applyFill="1" applyBorder="1" applyAlignment="1">
      <alignment horizontal="left" vertical="top" wrapText="1" indent="6"/>
    </xf>
    <xf numFmtId="49" fontId="8" fillId="3" borderId="0" xfId="4" applyNumberFormat="1" applyFont="1" applyFill="1" applyBorder="1" applyAlignment="1">
      <alignment vertical="center"/>
    </xf>
    <xf numFmtId="49" fontId="8" fillId="3" borderId="0" xfId="4" applyNumberFormat="1" applyFont="1" applyFill="1" applyBorder="1" applyAlignment="1">
      <alignment horizontal="left" vertical="center" indent="2"/>
    </xf>
    <xf numFmtId="49" fontId="8" fillId="0" borderId="1" xfId="0" applyNumberFormat="1" applyFont="1" applyFill="1" applyBorder="1" applyAlignment="1">
      <alignment horizontal="left" vertical="top" wrapText="1" indent="3"/>
    </xf>
    <xf numFmtId="165" fontId="24" fillId="0" borderId="0" xfId="0" applyNumberFormat="1" applyFont="1" applyFill="1" applyAlignment="1">
      <alignment horizontal="center" vertical="top"/>
    </xf>
    <xf numFmtId="49" fontId="9" fillId="0" borderId="1" xfId="0" applyNumberFormat="1" applyFont="1" applyFill="1" applyBorder="1" applyAlignment="1">
      <alignment horizontal="left" vertical="top" wrapText="1" indent="5"/>
    </xf>
    <xf numFmtId="49" fontId="2" fillId="7" borderId="1" xfId="0" applyNumberFormat="1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 wrapText="1"/>
    </xf>
    <xf numFmtId="165" fontId="3" fillId="7" borderId="1" xfId="1" applyNumberFormat="1" applyFont="1" applyFill="1" applyBorder="1" applyAlignment="1">
      <alignment horizontal="center" vertical="top" wrapText="1"/>
    </xf>
    <xf numFmtId="0" fontId="2" fillId="0" borderId="1" xfId="2" applyFont="1" applyFill="1" applyBorder="1" applyAlignment="1">
      <alignment vertical="top"/>
    </xf>
    <xf numFmtId="49" fontId="8" fillId="0" borderId="1" xfId="0" applyNumberFormat="1" applyFont="1" applyFill="1" applyBorder="1" applyAlignment="1">
      <alignment vertical="top" wrapText="1"/>
    </xf>
    <xf numFmtId="165" fontId="3" fillId="0" borderId="1" xfId="1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left" vertical="top" wrapText="1" indent="2"/>
    </xf>
    <xf numFmtId="49" fontId="2" fillId="7" borderId="6" xfId="0" applyNumberFormat="1" applyFont="1" applyFill="1" applyBorder="1" applyAlignment="1">
      <alignment vertical="top" wrapText="1"/>
    </xf>
    <xf numFmtId="0" fontId="2" fillId="7" borderId="6" xfId="0" applyFont="1" applyFill="1" applyBorder="1" applyAlignment="1">
      <alignment vertical="top" wrapText="1"/>
    </xf>
    <xf numFmtId="3" fontId="2" fillId="7" borderId="6" xfId="0" applyNumberFormat="1" applyFont="1" applyFill="1" applyBorder="1" applyAlignment="1">
      <alignment vertical="top" wrapText="1"/>
    </xf>
    <xf numFmtId="165" fontId="2" fillId="7" borderId="1" xfId="1" applyNumberFormat="1" applyFont="1" applyFill="1" applyBorder="1" applyAlignment="1">
      <alignment vertical="top" wrapText="1"/>
    </xf>
    <xf numFmtId="49" fontId="8" fillId="0" borderId="6" xfId="3" applyNumberFormat="1" applyFont="1" applyFill="1" applyBorder="1" applyAlignment="1">
      <alignment vertical="top"/>
    </xf>
    <xf numFmtId="49" fontId="10" fillId="0" borderId="6" xfId="3" applyNumberFormat="1" applyFont="1" applyFill="1" applyBorder="1" applyAlignment="1">
      <alignment horizontal="left" vertical="top" indent="2"/>
    </xf>
    <xf numFmtId="49" fontId="10" fillId="0" borderId="6" xfId="3" applyNumberFormat="1" applyFont="1" applyFill="1" applyBorder="1" applyAlignment="1">
      <alignment horizontal="left" vertical="top" wrapText="1" indent="2"/>
    </xf>
    <xf numFmtId="49" fontId="9" fillId="0" borderId="6" xfId="3" applyNumberFormat="1" applyFont="1" applyFill="1" applyBorder="1" applyAlignment="1">
      <alignment horizontal="left" vertical="top" wrapText="1" indent="4"/>
    </xf>
    <xf numFmtId="49" fontId="9" fillId="0" borderId="6" xfId="0" applyNumberFormat="1" applyFont="1" applyFill="1" applyBorder="1" applyAlignment="1">
      <alignment horizontal="left" vertical="top" wrapText="1" indent="4"/>
    </xf>
    <xf numFmtId="0" fontId="6" fillId="7" borderId="2" xfId="2" applyFont="1" applyFill="1" applyBorder="1" applyAlignment="1">
      <alignment horizontal="left" vertical="top"/>
    </xf>
    <xf numFmtId="165" fontId="6" fillId="7" borderId="1" xfId="1" applyNumberFormat="1" applyFont="1" applyFill="1" applyBorder="1" applyAlignment="1">
      <alignment horizontal="center" vertical="top" wrapText="1"/>
    </xf>
    <xf numFmtId="0" fontId="5" fillId="7" borderId="1" xfId="2" applyFont="1" applyFill="1" applyBorder="1" applyAlignment="1">
      <alignment horizontal="center" vertical="top"/>
    </xf>
    <xf numFmtId="0" fontId="5" fillId="7" borderId="1" xfId="2" applyFont="1" applyFill="1" applyBorder="1" applyAlignment="1">
      <alignment horizontal="left" vertical="top"/>
    </xf>
    <xf numFmtId="49" fontId="6" fillId="7" borderId="6" xfId="0" applyNumberFormat="1" applyFont="1" applyFill="1" applyBorder="1" applyAlignment="1">
      <alignment vertical="top" wrapText="1"/>
    </xf>
    <xf numFmtId="0" fontId="5" fillId="7" borderId="6" xfId="0" applyFont="1" applyFill="1" applyBorder="1" applyAlignment="1">
      <alignment vertical="top" wrapText="1"/>
    </xf>
    <xf numFmtId="165" fontId="5" fillId="7" borderId="1" xfId="1" applyNumberFormat="1" applyFont="1" applyFill="1" applyBorder="1" applyAlignment="1">
      <alignment horizontal="center" vertical="top" wrapText="1"/>
    </xf>
    <xf numFmtId="49" fontId="8" fillId="0" borderId="6" xfId="0" applyNumberFormat="1" applyFont="1" applyBorder="1" applyAlignment="1">
      <alignment vertical="top" wrapText="1"/>
    </xf>
    <xf numFmtId="0" fontId="6" fillId="7" borderId="1" xfId="2" applyFont="1" applyFill="1" applyBorder="1" applyAlignment="1">
      <alignment horizontal="left" vertical="top"/>
    </xf>
    <xf numFmtId="0" fontId="2" fillId="0" borderId="6" xfId="0" applyFont="1" applyBorder="1" applyAlignment="1">
      <alignment vertical="top" wrapText="1"/>
    </xf>
    <xf numFmtId="49" fontId="11" fillId="0" borderId="6" xfId="0" applyNumberFormat="1" applyFont="1" applyBorder="1" applyAlignment="1">
      <alignment horizontal="left" vertical="top" wrapText="1" indent="1"/>
    </xf>
    <xf numFmtId="0" fontId="3" fillId="7" borderId="6" xfId="0" applyFont="1" applyFill="1" applyBorder="1" applyAlignment="1">
      <alignment vertical="top" wrapText="1"/>
    </xf>
    <xf numFmtId="49" fontId="8" fillId="0" borderId="6" xfId="0" applyNumberFormat="1" applyFont="1" applyFill="1" applyBorder="1" applyAlignment="1">
      <alignment horizontal="left" vertical="top" wrapText="1" indent="2"/>
    </xf>
    <xf numFmtId="49" fontId="8" fillId="0" borderId="1" xfId="0" applyNumberFormat="1" applyFont="1" applyFill="1" applyBorder="1" applyAlignment="1">
      <alignment horizontal="left" vertical="top" wrapText="1" indent="2"/>
    </xf>
    <xf numFmtId="49" fontId="6" fillId="0" borderId="1" xfId="0" applyNumberFormat="1" applyFont="1" applyFill="1" applyBorder="1" applyAlignment="1">
      <alignment horizontal="left" vertical="top" wrapText="1" indent="3"/>
    </xf>
    <xf numFmtId="49" fontId="8" fillId="0" borderId="8" xfId="0" applyNumberFormat="1" applyFont="1" applyFill="1" applyBorder="1" applyAlignment="1">
      <alignment horizontal="left" vertical="top" wrapText="1" indent="2"/>
    </xf>
    <xf numFmtId="0" fontId="8" fillId="0" borderId="4" xfId="0" applyFont="1" applyFill="1" applyBorder="1" applyAlignment="1">
      <alignment horizontal="left" vertical="top" wrapText="1" indent="2"/>
    </xf>
    <xf numFmtId="49" fontId="9" fillId="0" borderId="1" xfId="0" applyNumberFormat="1" applyFont="1" applyFill="1" applyBorder="1" applyAlignment="1">
      <alignment horizontal="left" vertical="top" wrapText="1" indent="4"/>
    </xf>
    <xf numFmtId="0" fontId="2" fillId="7" borderId="1" xfId="2" applyFont="1" applyFill="1" applyBorder="1" applyAlignment="1">
      <alignment horizontal="left" vertical="top"/>
    </xf>
    <xf numFmtId="49" fontId="6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horizontal="left" vertical="top" wrapText="1" indent="2"/>
    </xf>
    <xf numFmtId="49" fontId="6" fillId="0" borderId="1" xfId="0" applyNumberFormat="1" applyFont="1" applyFill="1" applyBorder="1" applyAlignment="1">
      <alignment horizontal="left" vertical="top" wrapText="1" indent="5"/>
    </xf>
    <xf numFmtId="49" fontId="9" fillId="0" borderId="3" xfId="0" applyNumberFormat="1" applyFont="1" applyBorder="1" applyAlignment="1">
      <alignment horizontal="left" vertical="top" wrapText="1" indent="3"/>
    </xf>
    <xf numFmtId="49" fontId="9" fillId="0" borderId="3" xfId="0" applyNumberFormat="1" applyFont="1" applyFill="1" applyBorder="1" applyAlignment="1">
      <alignment horizontal="left" vertical="top" wrapText="1" indent="3"/>
    </xf>
    <xf numFmtId="49" fontId="9" fillId="0" borderId="1" xfId="0" applyNumberFormat="1" applyFont="1" applyBorder="1" applyAlignment="1">
      <alignment horizontal="left" vertical="top" wrapText="1" indent="3"/>
    </xf>
    <xf numFmtId="49" fontId="9" fillId="0" borderId="1" xfId="0" applyNumberFormat="1" applyFont="1" applyFill="1" applyBorder="1" applyAlignment="1">
      <alignment horizontal="left" vertical="top" wrapText="1" indent="3"/>
    </xf>
    <xf numFmtId="49" fontId="9" fillId="0" borderId="1" xfId="0" applyNumberFormat="1" applyFont="1" applyBorder="1" applyAlignment="1">
      <alignment horizontal="left" vertical="top" indent="3"/>
    </xf>
    <xf numFmtId="49" fontId="12" fillId="0" borderId="6" xfId="0" applyNumberFormat="1" applyFont="1" applyFill="1" applyBorder="1" applyAlignment="1">
      <alignment horizontal="left" vertical="top" wrapText="1" indent="3"/>
    </xf>
    <xf numFmtId="49" fontId="12" fillId="0" borderId="1" xfId="0" applyNumberFormat="1" applyFont="1" applyBorder="1" applyAlignment="1">
      <alignment horizontal="left" vertical="top" wrapText="1" indent="4"/>
    </xf>
    <xf numFmtId="49" fontId="12" fillId="0" borderId="1" xfId="0" applyNumberFormat="1" applyFont="1" applyBorder="1" applyAlignment="1">
      <alignment horizontal="left" vertical="top" wrapText="1" indent="5"/>
    </xf>
    <xf numFmtId="49" fontId="11" fillId="0" borderId="1" xfId="0" applyNumberFormat="1" applyFont="1" applyBorder="1" applyAlignment="1">
      <alignment horizontal="left" vertical="top" wrapText="1" indent="5"/>
    </xf>
    <xf numFmtId="49" fontId="12" fillId="0" borderId="1" xfId="0" applyNumberFormat="1" applyFont="1" applyBorder="1" applyAlignment="1">
      <alignment horizontal="left" vertical="top" wrapText="1" indent="6"/>
    </xf>
    <xf numFmtId="49" fontId="12" fillId="0" borderId="1" xfId="0" applyNumberFormat="1" applyFont="1" applyBorder="1" applyAlignment="1">
      <alignment horizontal="left" vertical="top" wrapText="1" indent="3"/>
    </xf>
    <xf numFmtId="0" fontId="6" fillId="7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left" vertical="top" wrapText="1" indent="4"/>
    </xf>
    <xf numFmtId="49" fontId="11" fillId="0" borderId="1" xfId="0" applyNumberFormat="1" applyFont="1" applyFill="1" applyBorder="1" applyAlignment="1">
      <alignment horizontal="left" vertical="top" wrapText="1" indent="3"/>
    </xf>
    <xf numFmtId="49" fontId="11" fillId="0" borderId="1" xfId="0" applyNumberFormat="1" applyFont="1" applyFill="1" applyBorder="1" applyAlignment="1">
      <alignment horizontal="left" vertical="top" wrapText="1" indent="2"/>
    </xf>
    <xf numFmtId="168" fontId="8" fillId="0" borderId="1" xfId="1" applyNumberFormat="1" applyFont="1" applyFill="1" applyBorder="1" applyAlignment="1">
      <alignment vertical="top" wrapText="1"/>
    </xf>
    <xf numFmtId="168" fontId="6" fillId="0" borderId="1" xfId="1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right" vertical="top" wrapText="1"/>
    </xf>
    <xf numFmtId="168" fontId="3" fillId="0" borderId="1" xfId="1" applyNumberFormat="1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vertical="top"/>
    </xf>
    <xf numFmtId="43" fontId="5" fillId="0" borderId="1" xfId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top" wrapText="1" indent="4"/>
    </xf>
    <xf numFmtId="0" fontId="15" fillId="0" borderId="1" xfId="0" applyFont="1" applyFill="1" applyBorder="1" applyAlignment="1">
      <alignment horizontal="left" vertical="top" wrapText="1"/>
    </xf>
    <xf numFmtId="0" fontId="2" fillId="7" borderId="7" xfId="2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>
      <alignment horizontal="left" vertical="top" wrapText="1"/>
    </xf>
    <xf numFmtId="0" fontId="2" fillId="7" borderId="2" xfId="2" applyFont="1" applyFill="1" applyBorder="1" applyAlignment="1">
      <alignment horizontal="center" vertical="top"/>
    </xf>
    <xf numFmtId="49" fontId="2" fillId="7" borderId="1" xfId="0" applyNumberFormat="1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 wrapText="1" indent="1"/>
    </xf>
    <xf numFmtId="0" fontId="9" fillId="7" borderId="3" xfId="2" applyFont="1" applyFill="1" applyBorder="1" applyAlignment="1">
      <alignment horizontal="center" vertical="top"/>
    </xf>
    <xf numFmtId="0" fontId="9" fillId="7" borderId="3" xfId="2" applyFont="1" applyFill="1" applyBorder="1" applyAlignment="1">
      <alignment horizontal="left" vertical="top"/>
    </xf>
    <xf numFmtId="49" fontId="9" fillId="7" borderId="1" xfId="0" applyNumberFormat="1" applyFont="1" applyFill="1" applyBorder="1" applyAlignment="1">
      <alignment horizontal="left" vertical="top" wrapText="1"/>
    </xf>
    <xf numFmtId="0" fontId="11" fillId="7" borderId="1" xfId="0" applyFont="1" applyFill="1" applyBorder="1" applyAlignment="1">
      <alignment horizontal="right" vertical="top" wrapText="1"/>
    </xf>
    <xf numFmtId="165" fontId="10" fillId="7" borderId="1" xfId="1" applyNumberFormat="1" applyFont="1" applyFill="1" applyBorder="1" applyAlignment="1">
      <alignment horizontal="right" vertical="top" wrapText="1"/>
    </xf>
    <xf numFmtId="165" fontId="9" fillId="7" borderId="1" xfId="1" applyNumberFormat="1" applyFont="1" applyFill="1" applyBorder="1" applyAlignment="1">
      <alignment horizontal="center" vertical="top" wrapText="1"/>
    </xf>
    <xf numFmtId="165" fontId="5" fillId="7" borderId="1" xfId="1" applyNumberFormat="1" applyFont="1" applyFill="1" applyBorder="1" applyAlignment="1">
      <alignment horizontal="left" vertical="top" wrapText="1"/>
    </xf>
    <xf numFmtId="165" fontId="2" fillId="7" borderId="1" xfId="1" applyNumberFormat="1" applyFont="1" applyFill="1" applyBorder="1" applyAlignment="1">
      <alignment horizontal="left" vertical="top" wrapText="1"/>
    </xf>
    <xf numFmtId="49" fontId="2" fillId="7" borderId="1" xfId="0" applyNumberFormat="1" applyFont="1" applyFill="1" applyBorder="1" applyAlignment="1">
      <alignment vertical="top"/>
    </xf>
    <xf numFmtId="0" fontId="12" fillId="7" borderId="1" xfId="0" applyFont="1" applyFill="1" applyBorder="1" applyAlignment="1">
      <alignment horizontal="left" vertical="top"/>
    </xf>
    <xf numFmtId="0" fontId="2" fillId="7" borderId="1" xfId="0" applyFont="1" applyFill="1" applyBorder="1" applyAlignment="1">
      <alignment vertical="top"/>
    </xf>
    <xf numFmtId="165" fontId="2" fillId="7" borderId="1" xfId="1" applyNumberFormat="1" applyFont="1" applyFill="1" applyBorder="1" applyAlignment="1">
      <alignment horizontal="left" vertical="top"/>
    </xf>
    <xf numFmtId="165" fontId="2" fillId="7" borderId="1" xfId="1" applyNumberFormat="1" applyFont="1" applyFill="1" applyBorder="1" applyAlignment="1">
      <alignment horizontal="center" vertical="top"/>
    </xf>
    <xf numFmtId="0" fontId="12" fillId="7" borderId="1" xfId="0" applyFont="1" applyFill="1" applyBorder="1" applyAlignment="1">
      <alignment horizontal="left" vertical="top" wrapText="1"/>
    </xf>
    <xf numFmtId="0" fontId="53" fillId="7" borderId="1" xfId="0" applyFont="1" applyFill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left" vertical="top" wrapText="1" indent="3"/>
    </xf>
    <xf numFmtId="49" fontId="8" fillId="0" borderId="0" xfId="4" applyNumberFormat="1" applyFont="1" applyFill="1" applyBorder="1" applyAlignment="1">
      <alignment vertical="center"/>
    </xf>
    <xf numFmtId="49" fontId="6" fillId="0" borderId="7" xfId="2" applyNumberFormat="1" applyFont="1" applyFill="1" applyBorder="1" applyAlignment="1">
      <alignment horizontal="center" vertical="top"/>
    </xf>
    <xf numFmtId="165" fontId="6" fillId="0" borderId="6" xfId="1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49" fontId="8" fillId="0" borderId="1" xfId="4" applyNumberFormat="1" applyFont="1" applyFill="1" applyBorder="1" applyAlignment="1">
      <alignment vertical="center"/>
    </xf>
    <xf numFmtId="0" fontId="20" fillId="0" borderId="1" xfId="0" applyNumberFormat="1" applyFont="1" applyFill="1" applyBorder="1" applyAlignment="1">
      <alignment vertical="top" wrapText="1"/>
    </xf>
    <xf numFmtId="0" fontId="17" fillId="0" borderId="1" xfId="0" applyNumberFormat="1" applyFont="1" applyFill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165" fontId="8" fillId="0" borderId="1" xfId="0" applyNumberFormat="1" applyFont="1" applyBorder="1" applyAlignment="1">
      <alignment vertical="top"/>
    </xf>
    <xf numFmtId="0" fontId="6" fillId="0" borderId="7" xfId="2" applyFont="1" applyFill="1" applyBorder="1" applyAlignment="1">
      <alignment horizontal="center" vertical="top"/>
    </xf>
    <xf numFmtId="0" fontId="9" fillId="0" borderId="7" xfId="2" applyFont="1" applyFill="1" applyBorder="1" applyAlignment="1">
      <alignment horizontal="center" vertical="top"/>
    </xf>
    <xf numFmtId="49" fontId="13" fillId="0" borderId="7" xfId="2" applyNumberFormat="1" applyFont="1" applyFill="1" applyBorder="1" applyAlignment="1">
      <alignment horizontal="center" vertical="top"/>
    </xf>
    <xf numFmtId="0" fontId="10" fillId="0" borderId="2" xfId="2" applyFont="1" applyFill="1" applyBorder="1" applyAlignment="1">
      <alignment horizontal="left" vertical="top"/>
    </xf>
    <xf numFmtId="0" fontId="10" fillId="0" borderId="7" xfId="2" applyFont="1" applyFill="1" applyBorder="1" applyAlignment="1">
      <alignment horizontal="left" vertical="top"/>
    </xf>
    <xf numFmtId="0" fontId="10" fillId="0" borderId="3" xfId="2" applyFont="1" applyFill="1" applyBorder="1" applyAlignment="1">
      <alignment horizontal="left" vertical="top"/>
    </xf>
    <xf numFmtId="0" fontId="8" fillId="0" borderId="2" xfId="2" applyFont="1" applyFill="1" applyBorder="1" applyAlignment="1">
      <alignment horizontal="left" vertical="top" wrapText="1"/>
    </xf>
    <xf numFmtId="49" fontId="8" fillId="0" borderId="7" xfId="2" applyNumberFormat="1" applyFont="1" applyFill="1" applyBorder="1" applyAlignment="1">
      <alignment horizontal="left" vertical="top"/>
    </xf>
    <xf numFmtId="49" fontId="6" fillId="0" borderId="7" xfId="2" applyNumberFormat="1" applyFont="1" applyFill="1" applyBorder="1" applyAlignment="1">
      <alignment horizontal="left" vertical="top"/>
    </xf>
    <xf numFmtId="0" fontId="2" fillId="0" borderId="2" xfId="2" applyFont="1" applyFill="1" applyBorder="1" applyAlignment="1">
      <alignment horizontal="center" vertical="top"/>
    </xf>
    <xf numFmtId="0" fontId="2" fillId="0" borderId="2" xfId="2" applyFont="1" applyFill="1" applyBorder="1" applyAlignment="1">
      <alignment vertical="top" wrapText="1"/>
    </xf>
    <xf numFmtId="2" fontId="6" fillId="0" borderId="7" xfId="2" applyNumberFormat="1" applyFont="1" applyFill="1" applyBorder="1" applyAlignment="1">
      <alignment horizontal="center" vertical="top"/>
    </xf>
    <xf numFmtId="0" fontId="27" fillId="0" borderId="0" xfId="0" applyFont="1" applyAlignment="1">
      <alignment horizontal="center" vertical="top"/>
    </xf>
    <xf numFmtId="0" fontId="12" fillId="0" borderId="2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2" fillId="7" borderId="2" xfId="0" applyFont="1" applyFill="1" applyBorder="1" applyAlignment="1">
      <alignment horizontal="center" vertical="top" wrapText="1"/>
    </xf>
    <xf numFmtId="0" fontId="2" fillId="7" borderId="7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2" fillId="0" borderId="7" xfId="0" applyFont="1" applyFill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27" fillId="0" borderId="0" xfId="0" applyNumberFormat="1" applyFont="1" applyAlignment="1">
      <alignment horizontal="center" vertical="top" wrapText="1"/>
    </xf>
    <xf numFmtId="0" fontId="6" fillId="0" borderId="2" xfId="0" applyNumberFormat="1" applyFont="1" applyBorder="1" applyAlignment="1">
      <alignment horizontal="center" vertical="top" wrapText="1"/>
    </xf>
    <xf numFmtId="0" fontId="6" fillId="0" borderId="3" xfId="0" applyNumberFormat="1" applyFont="1" applyBorder="1" applyAlignment="1">
      <alignment horizontal="center" vertical="top" wrapText="1"/>
    </xf>
    <xf numFmtId="0" fontId="6" fillId="0" borderId="5" xfId="0" applyNumberFormat="1" applyFont="1" applyBorder="1" applyAlignment="1">
      <alignment horizontal="center" vertical="top" wrapText="1"/>
    </xf>
    <xf numFmtId="0" fontId="51" fillId="0" borderId="4" xfId="0" applyFont="1" applyBorder="1"/>
    <xf numFmtId="0" fontId="51" fillId="0" borderId="6" xfId="0" applyFont="1" applyBorder="1"/>
    <xf numFmtId="0" fontId="6" fillId="0" borderId="10" xfId="0" applyNumberFormat="1" applyFont="1" applyBorder="1" applyAlignment="1">
      <alignment horizontal="center" vertical="top" wrapText="1"/>
    </xf>
    <xf numFmtId="0" fontId="6" fillId="0" borderId="8" xfId="0" applyNumberFormat="1" applyFont="1" applyBorder="1" applyAlignment="1">
      <alignment horizontal="center" vertical="top" wrapText="1"/>
    </xf>
    <xf numFmtId="0" fontId="22" fillId="0" borderId="2" xfId="0" applyNumberFormat="1" applyFont="1" applyFill="1" applyBorder="1" applyAlignment="1">
      <alignment horizontal="left" vertical="top" wrapText="1"/>
    </xf>
    <xf numFmtId="0" fontId="22" fillId="0" borderId="7" xfId="0" applyNumberFormat="1" applyFont="1" applyFill="1" applyBorder="1" applyAlignment="1">
      <alignment horizontal="left" vertical="top" wrapText="1"/>
    </xf>
    <xf numFmtId="0" fontId="22" fillId="0" borderId="3" xfId="0" applyNumberFormat="1" applyFont="1" applyFill="1" applyBorder="1" applyAlignment="1">
      <alignment horizontal="left" vertical="top" wrapText="1"/>
    </xf>
    <xf numFmtId="0" fontId="10" fillId="0" borderId="2" xfId="0" applyNumberFormat="1" applyFont="1" applyFill="1" applyBorder="1" applyAlignment="1">
      <alignment horizontal="left" vertical="top" wrapText="1"/>
    </xf>
    <xf numFmtId="0" fontId="10" fillId="0" borderId="7" xfId="0" applyNumberFormat="1" applyFont="1" applyFill="1" applyBorder="1" applyAlignment="1">
      <alignment horizontal="left" vertical="top" wrapText="1"/>
    </xf>
    <xf numFmtId="0" fontId="10" fillId="0" borderId="3" xfId="0" applyNumberFormat="1" applyFont="1" applyFill="1" applyBorder="1" applyAlignment="1">
      <alignment horizontal="left" vertical="top" wrapText="1"/>
    </xf>
    <xf numFmtId="0" fontId="32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 wrapText="1"/>
    </xf>
    <xf numFmtId="0" fontId="42" fillId="0" borderId="2" xfId="0" applyFont="1" applyBorder="1" applyAlignment="1">
      <alignment horizontal="center" vertical="top" wrapText="1"/>
    </xf>
    <xf numFmtId="0" fontId="42" fillId="0" borderId="3" xfId="0" applyFont="1" applyBorder="1" applyAlignment="1">
      <alignment horizontal="center" vertical="top" wrapText="1"/>
    </xf>
    <xf numFmtId="0" fontId="42" fillId="0" borderId="5" xfId="0" applyFont="1" applyBorder="1" applyAlignment="1">
      <alignment horizontal="center" vertical="top" wrapText="1"/>
    </xf>
    <xf numFmtId="0" fontId="42" fillId="0" borderId="6" xfId="0" applyFont="1" applyBorder="1" applyAlignment="1">
      <alignment horizontal="center" vertical="top" wrapText="1"/>
    </xf>
    <xf numFmtId="0" fontId="42" fillId="0" borderId="5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vertical="top"/>
    </xf>
  </cellXfs>
  <cellStyles count="5">
    <cellStyle name="Comma" xfId="1" builtinId="3"/>
    <cellStyle name="Normal" xfId="0" builtinId="0"/>
    <cellStyle name="Normal 3" xfId="2"/>
    <cellStyle name="เครื่องหมายจุลภาค 10" xfId="4"/>
    <cellStyle name="ปกติ 2" xfId="3"/>
  </cellStyles>
  <dxfs count="0"/>
  <tableStyles count="0" defaultTableStyle="TableStyleMedium9" defaultPivotStyle="PivotStyleLight16"/>
  <colors>
    <mruColors>
      <color rgb="FF0033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%202/Desktop/conference_doc/2557/1_2557/report_action_p2556_trimas4_boar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User%202\Desktop\conference_doc\2556\1_2556\report_action_plan_ph2555_4_255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on_plan2556"/>
      <sheetName val="สรุปโครงการ"/>
      <sheetName val="report_ไตรมาส"/>
      <sheetName val="สรุปไตรมาส2"/>
      <sheetName val="สรุปไตรมาส3"/>
      <sheetName val="สรุปไตรมาส4"/>
      <sheetName val="สรุปวงเงิน"/>
      <sheetName val="Sheet1"/>
    </sheetNames>
    <sheetDataSet>
      <sheetData sheetId="0"/>
      <sheetData sheetId="1"/>
      <sheetData sheetId="2">
        <row r="6">
          <cell r="P6">
            <v>5641700</v>
          </cell>
          <cell r="Q6">
            <v>932985.2699999999</v>
          </cell>
          <cell r="R6">
            <v>839418.22000000009</v>
          </cell>
        </row>
        <row r="43">
          <cell r="R43">
            <v>20000</v>
          </cell>
        </row>
        <row r="52">
          <cell r="P52">
            <v>2500000</v>
          </cell>
          <cell r="Q52">
            <v>149945</v>
          </cell>
          <cell r="R52">
            <v>647890.80000000005</v>
          </cell>
        </row>
        <row r="75">
          <cell r="P75">
            <v>200000</v>
          </cell>
          <cell r="Q75">
            <v>26052</v>
          </cell>
          <cell r="R75">
            <v>77988</v>
          </cell>
        </row>
        <row r="76">
          <cell r="P76">
            <v>354400</v>
          </cell>
          <cell r="Q76">
            <v>127200</v>
          </cell>
          <cell r="R76">
            <v>133160</v>
          </cell>
        </row>
        <row r="77">
          <cell r="P77">
            <v>3703000</v>
          </cell>
          <cell r="Q77">
            <v>72820.320000000007</v>
          </cell>
          <cell r="R77">
            <v>84767.48</v>
          </cell>
        </row>
        <row r="93">
          <cell r="P93">
            <v>2380000</v>
          </cell>
          <cell r="Q93">
            <v>362645.23</v>
          </cell>
          <cell r="R93">
            <v>451062.07999999996</v>
          </cell>
        </row>
        <row r="98">
          <cell r="P98">
            <v>3075500</v>
          </cell>
          <cell r="Q98">
            <v>14550</v>
          </cell>
          <cell r="R98">
            <v>842208</v>
          </cell>
        </row>
        <row r="153">
          <cell r="P153">
            <v>346500</v>
          </cell>
        </row>
        <row r="154">
          <cell r="P154">
            <v>200000</v>
          </cell>
        </row>
        <row r="155">
          <cell r="P155">
            <v>87600</v>
          </cell>
        </row>
        <row r="156">
          <cell r="P156">
            <v>147900</v>
          </cell>
        </row>
        <row r="157">
          <cell r="P157">
            <v>100000</v>
          </cell>
        </row>
        <row r="158">
          <cell r="P158">
            <v>87600</v>
          </cell>
          <cell r="Q158">
            <v>40000</v>
          </cell>
        </row>
        <row r="159">
          <cell r="P159">
            <v>186400</v>
          </cell>
        </row>
        <row r="160">
          <cell r="P160">
            <v>112900</v>
          </cell>
        </row>
        <row r="161">
          <cell r="P161">
            <v>84000</v>
          </cell>
        </row>
        <row r="162">
          <cell r="P162">
            <v>100000</v>
          </cell>
        </row>
        <row r="163">
          <cell r="P163">
            <v>150000</v>
          </cell>
        </row>
        <row r="164">
          <cell r="P164">
            <v>70000</v>
          </cell>
        </row>
        <row r="165">
          <cell r="P165">
            <v>100000</v>
          </cell>
          <cell r="Q165">
            <v>76200</v>
          </cell>
        </row>
        <row r="166">
          <cell r="P166">
            <v>1088500</v>
          </cell>
        </row>
        <row r="167">
          <cell r="P167">
            <v>150000</v>
          </cell>
        </row>
        <row r="168">
          <cell r="P168">
            <v>800000</v>
          </cell>
        </row>
        <row r="170">
          <cell r="P170">
            <v>500000</v>
          </cell>
          <cell r="Q170">
            <v>12000</v>
          </cell>
        </row>
        <row r="171">
          <cell r="P171">
            <v>80000</v>
          </cell>
        </row>
        <row r="172">
          <cell r="P172">
            <v>6641900</v>
          </cell>
          <cell r="Q172">
            <v>132752.6</v>
          </cell>
          <cell r="R172">
            <v>394962.05</v>
          </cell>
        </row>
        <row r="195">
          <cell r="P195">
            <v>50000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งานการดำเนินงาน"/>
      <sheetName val="สรุปไตรมาส_1_2_3_4"/>
      <sheetName val="Sheet3"/>
    </sheetNames>
    <sheetDataSet>
      <sheetData sheetId="0" refreshError="1">
        <row r="87">
          <cell r="N87">
            <v>160500</v>
          </cell>
          <cell r="Q87">
            <v>0</v>
          </cell>
        </row>
        <row r="207">
          <cell r="Q207">
            <v>0</v>
          </cell>
          <cell r="R207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9"/>
  <sheetViews>
    <sheetView topLeftCell="A4" workbookViewId="0">
      <pane ySplit="1" topLeftCell="A5" activePane="bottomLeft" state="frozen"/>
      <selection activeCell="A4" sqref="A4"/>
      <selection pane="bottomLeft" activeCell="I48" sqref="I48"/>
    </sheetView>
  </sheetViews>
  <sheetFormatPr defaultRowHeight="21"/>
  <cols>
    <col min="1" max="1" width="6" style="1" customWidth="1"/>
    <col min="2" max="2" width="21.42578125" style="1" customWidth="1"/>
    <col min="3" max="3" width="46.5703125" style="1" customWidth="1"/>
    <col min="4" max="6" width="9.140625" style="1" hidden="1" customWidth="1"/>
    <col min="7" max="7" width="16.85546875" style="1" hidden="1" customWidth="1"/>
    <col min="8" max="8" width="16.140625" style="1" customWidth="1"/>
    <col min="9" max="9" width="15.140625" style="1" customWidth="1"/>
    <col min="10" max="10" width="14.85546875" style="1" customWidth="1"/>
    <col min="11" max="11" width="15.28515625" style="1" customWidth="1"/>
    <col min="12" max="12" width="15.85546875" style="1" customWidth="1"/>
    <col min="13" max="13" width="1.5703125" style="1" customWidth="1"/>
    <col min="14" max="14" width="19.85546875" style="1" customWidth="1"/>
    <col min="15" max="15" width="18.42578125" style="1" customWidth="1"/>
    <col min="16" max="16" width="16" style="1" customWidth="1"/>
    <col min="17" max="256" width="9.140625" style="1"/>
    <col min="257" max="257" width="7.85546875" style="1" customWidth="1"/>
    <col min="258" max="258" width="21.42578125" style="1" customWidth="1"/>
    <col min="259" max="259" width="46.5703125" style="1" customWidth="1"/>
    <col min="260" max="262" width="0" style="1" hidden="1" customWidth="1"/>
    <col min="263" max="263" width="16.85546875" style="1" customWidth="1"/>
    <col min="264" max="264" width="18.5703125" style="1" customWidth="1"/>
    <col min="265" max="265" width="15.140625" style="1" customWidth="1"/>
    <col min="266" max="266" width="14.85546875" style="1" customWidth="1"/>
    <col min="267" max="267" width="19.140625" style="1" customWidth="1"/>
    <col min="268" max="268" width="20.42578125" style="1" customWidth="1"/>
    <col min="269" max="512" width="9.140625" style="1"/>
    <col min="513" max="513" width="7.85546875" style="1" customWidth="1"/>
    <col min="514" max="514" width="21.42578125" style="1" customWidth="1"/>
    <col min="515" max="515" width="46.5703125" style="1" customWidth="1"/>
    <col min="516" max="518" width="0" style="1" hidden="1" customWidth="1"/>
    <col min="519" max="519" width="16.85546875" style="1" customWidth="1"/>
    <col min="520" max="520" width="18.5703125" style="1" customWidth="1"/>
    <col min="521" max="521" width="15.140625" style="1" customWidth="1"/>
    <col min="522" max="522" width="14.85546875" style="1" customWidth="1"/>
    <col min="523" max="523" width="19.140625" style="1" customWidth="1"/>
    <col min="524" max="524" width="20.42578125" style="1" customWidth="1"/>
    <col min="525" max="768" width="9.140625" style="1"/>
    <col min="769" max="769" width="7.85546875" style="1" customWidth="1"/>
    <col min="770" max="770" width="21.42578125" style="1" customWidth="1"/>
    <col min="771" max="771" width="46.5703125" style="1" customWidth="1"/>
    <col min="772" max="774" width="0" style="1" hidden="1" customWidth="1"/>
    <col min="775" max="775" width="16.85546875" style="1" customWidth="1"/>
    <col min="776" max="776" width="18.5703125" style="1" customWidth="1"/>
    <col min="777" max="777" width="15.140625" style="1" customWidth="1"/>
    <col min="778" max="778" width="14.85546875" style="1" customWidth="1"/>
    <col min="779" max="779" width="19.140625" style="1" customWidth="1"/>
    <col min="780" max="780" width="20.42578125" style="1" customWidth="1"/>
    <col min="781" max="1024" width="9.140625" style="1"/>
    <col min="1025" max="1025" width="7.85546875" style="1" customWidth="1"/>
    <col min="1026" max="1026" width="21.42578125" style="1" customWidth="1"/>
    <col min="1027" max="1027" width="46.5703125" style="1" customWidth="1"/>
    <col min="1028" max="1030" width="0" style="1" hidden="1" customWidth="1"/>
    <col min="1031" max="1031" width="16.85546875" style="1" customWidth="1"/>
    <col min="1032" max="1032" width="18.5703125" style="1" customWidth="1"/>
    <col min="1033" max="1033" width="15.140625" style="1" customWidth="1"/>
    <col min="1034" max="1034" width="14.85546875" style="1" customWidth="1"/>
    <col min="1035" max="1035" width="19.140625" style="1" customWidth="1"/>
    <col min="1036" max="1036" width="20.42578125" style="1" customWidth="1"/>
    <col min="1037" max="1280" width="9.140625" style="1"/>
    <col min="1281" max="1281" width="7.85546875" style="1" customWidth="1"/>
    <col min="1282" max="1282" width="21.42578125" style="1" customWidth="1"/>
    <col min="1283" max="1283" width="46.5703125" style="1" customWidth="1"/>
    <col min="1284" max="1286" width="0" style="1" hidden="1" customWidth="1"/>
    <col min="1287" max="1287" width="16.85546875" style="1" customWidth="1"/>
    <col min="1288" max="1288" width="18.5703125" style="1" customWidth="1"/>
    <col min="1289" max="1289" width="15.140625" style="1" customWidth="1"/>
    <col min="1290" max="1290" width="14.85546875" style="1" customWidth="1"/>
    <col min="1291" max="1291" width="19.140625" style="1" customWidth="1"/>
    <col min="1292" max="1292" width="20.42578125" style="1" customWidth="1"/>
    <col min="1293" max="1536" width="9.140625" style="1"/>
    <col min="1537" max="1537" width="7.85546875" style="1" customWidth="1"/>
    <col min="1538" max="1538" width="21.42578125" style="1" customWidth="1"/>
    <col min="1539" max="1539" width="46.5703125" style="1" customWidth="1"/>
    <col min="1540" max="1542" width="0" style="1" hidden="1" customWidth="1"/>
    <col min="1543" max="1543" width="16.85546875" style="1" customWidth="1"/>
    <col min="1544" max="1544" width="18.5703125" style="1" customWidth="1"/>
    <col min="1545" max="1545" width="15.140625" style="1" customWidth="1"/>
    <col min="1546" max="1546" width="14.85546875" style="1" customWidth="1"/>
    <col min="1547" max="1547" width="19.140625" style="1" customWidth="1"/>
    <col min="1548" max="1548" width="20.42578125" style="1" customWidth="1"/>
    <col min="1549" max="1792" width="9.140625" style="1"/>
    <col min="1793" max="1793" width="7.85546875" style="1" customWidth="1"/>
    <col min="1794" max="1794" width="21.42578125" style="1" customWidth="1"/>
    <col min="1795" max="1795" width="46.5703125" style="1" customWidth="1"/>
    <col min="1796" max="1798" width="0" style="1" hidden="1" customWidth="1"/>
    <col min="1799" max="1799" width="16.85546875" style="1" customWidth="1"/>
    <col min="1800" max="1800" width="18.5703125" style="1" customWidth="1"/>
    <col min="1801" max="1801" width="15.140625" style="1" customWidth="1"/>
    <col min="1802" max="1802" width="14.85546875" style="1" customWidth="1"/>
    <col min="1803" max="1803" width="19.140625" style="1" customWidth="1"/>
    <col min="1804" max="1804" width="20.42578125" style="1" customWidth="1"/>
    <col min="1805" max="2048" width="9.140625" style="1"/>
    <col min="2049" max="2049" width="7.85546875" style="1" customWidth="1"/>
    <col min="2050" max="2050" width="21.42578125" style="1" customWidth="1"/>
    <col min="2051" max="2051" width="46.5703125" style="1" customWidth="1"/>
    <col min="2052" max="2054" width="0" style="1" hidden="1" customWidth="1"/>
    <col min="2055" max="2055" width="16.85546875" style="1" customWidth="1"/>
    <col min="2056" max="2056" width="18.5703125" style="1" customWidth="1"/>
    <col min="2057" max="2057" width="15.140625" style="1" customWidth="1"/>
    <col min="2058" max="2058" width="14.85546875" style="1" customWidth="1"/>
    <col min="2059" max="2059" width="19.140625" style="1" customWidth="1"/>
    <col min="2060" max="2060" width="20.42578125" style="1" customWidth="1"/>
    <col min="2061" max="2304" width="9.140625" style="1"/>
    <col min="2305" max="2305" width="7.85546875" style="1" customWidth="1"/>
    <col min="2306" max="2306" width="21.42578125" style="1" customWidth="1"/>
    <col min="2307" max="2307" width="46.5703125" style="1" customWidth="1"/>
    <col min="2308" max="2310" width="0" style="1" hidden="1" customWidth="1"/>
    <col min="2311" max="2311" width="16.85546875" style="1" customWidth="1"/>
    <col min="2312" max="2312" width="18.5703125" style="1" customWidth="1"/>
    <col min="2313" max="2313" width="15.140625" style="1" customWidth="1"/>
    <col min="2314" max="2314" width="14.85546875" style="1" customWidth="1"/>
    <col min="2315" max="2315" width="19.140625" style="1" customWidth="1"/>
    <col min="2316" max="2316" width="20.42578125" style="1" customWidth="1"/>
    <col min="2317" max="2560" width="9.140625" style="1"/>
    <col min="2561" max="2561" width="7.85546875" style="1" customWidth="1"/>
    <col min="2562" max="2562" width="21.42578125" style="1" customWidth="1"/>
    <col min="2563" max="2563" width="46.5703125" style="1" customWidth="1"/>
    <col min="2564" max="2566" width="0" style="1" hidden="1" customWidth="1"/>
    <col min="2567" max="2567" width="16.85546875" style="1" customWidth="1"/>
    <col min="2568" max="2568" width="18.5703125" style="1" customWidth="1"/>
    <col min="2569" max="2569" width="15.140625" style="1" customWidth="1"/>
    <col min="2570" max="2570" width="14.85546875" style="1" customWidth="1"/>
    <col min="2571" max="2571" width="19.140625" style="1" customWidth="1"/>
    <col min="2572" max="2572" width="20.42578125" style="1" customWidth="1"/>
    <col min="2573" max="2816" width="9.140625" style="1"/>
    <col min="2817" max="2817" width="7.85546875" style="1" customWidth="1"/>
    <col min="2818" max="2818" width="21.42578125" style="1" customWidth="1"/>
    <col min="2819" max="2819" width="46.5703125" style="1" customWidth="1"/>
    <col min="2820" max="2822" width="0" style="1" hidden="1" customWidth="1"/>
    <col min="2823" max="2823" width="16.85546875" style="1" customWidth="1"/>
    <col min="2824" max="2824" width="18.5703125" style="1" customWidth="1"/>
    <col min="2825" max="2825" width="15.140625" style="1" customWidth="1"/>
    <col min="2826" max="2826" width="14.85546875" style="1" customWidth="1"/>
    <col min="2827" max="2827" width="19.140625" style="1" customWidth="1"/>
    <col min="2828" max="2828" width="20.42578125" style="1" customWidth="1"/>
    <col min="2829" max="3072" width="9.140625" style="1"/>
    <col min="3073" max="3073" width="7.85546875" style="1" customWidth="1"/>
    <col min="3074" max="3074" width="21.42578125" style="1" customWidth="1"/>
    <col min="3075" max="3075" width="46.5703125" style="1" customWidth="1"/>
    <col min="3076" max="3078" width="0" style="1" hidden="1" customWidth="1"/>
    <col min="3079" max="3079" width="16.85546875" style="1" customWidth="1"/>
    <col min="3080" max="3080" width="18.5703125" style="1" customWidth="1"/>
    <col min="3081" max="3081" width="15.140625" style="1" customWidth="1"/>
    <col min="3082" max="3082" width="14.85546875" style="1" customWidth="1"/>
    <col min="3083" max="3083" width="19.140625" style="1" customWidth="1"/>
    <col min="3084" max="3084" width="20.42578125" style="1" customWidth="1"/>
    <col min="3085" max="3328" width="9.140625" style="1"/>
    <col min="3329" max="3329" width="7.85546875" style="1" customWidth="1"/>
    <col min="3330" max="3330" width="21.42578125" style="1" customWidth="1"/>
    <col min="3331" max="3331" width="46.5703125" style="1" customWidth="1"/>
    <col min="3332" max="3334" width="0" style="1" hidden="1" customWidth="1"/>
    <col min="3335" max="3335" width="16.85546875" style="1" customWidth="1"/>
    <col min="3336" max="3336" width="18.5703125" style="1" customWidth="1"/>
    <col min="3337" max="3337" width="15.140625" style="1" customWidth="1"/>
    <col min="3338" max="3338" width="14.85546875" style="1" customWidth="1"/>
    <col min="3339" max="3339" width="19.140625" style="1" customWidth="1"/>
    <col min="3340" max="3340" width="20.42578125" style="1" customWidth="1"/>
    <col min="3341" max="3584" width="9.140625" style="1"/>
    <col min="3585" max="3585" width="7.85546875" style="1" customWidth="1"/>
    <col min="3586" max="3586" width="21.42578125" style="1" customWidth="1"/>
    <col min="3587" max="3587" width="46.5703125" style="1" customWidth="1"/>
    <col min="3588" max="3590" width="0" style="1" hidden="1" customWidth="1"/>
    <col min="3591" max="3591" width="16.85546875" style="1" customWidth="1"/>
    <col min="3592" max="3592" width="18.5703125" style="1" customWidth="1"/>
    <col min="3593" max="3593" width="15.140625" style="1" customWidth="1"/>
    <col min="3594" max="3594" width="14.85546875" style="1" customWidth="1"/>
    <col min="3595" max="3595" width="19.140625" style="1" customWidth="1"/>
    <col min="3596" max="3596" width="20.42578125" style="1" customWidth="1"/>
    <col min="3597" max="3840" width="9.140625" style="1"/>
    <col min="3841" max="3841" width="7.85546875" style="1" customWidth="1"/>
    <col min="3842" max="3842" width="21.42578125" style="1" customWidth="1"/>
    <col min="3843" max="3843" width="46.5703125" style="1" customWidth="1"/>
    <col min="3844" max="3846" width="0" style="1" hidden="1" customWidth="1"/>
    <col min="3847" max="3847" width="16.85546875" style="1" customWidth="1"/>
    <col min="3848" max="3848" width="18.5703125" style="1" customWidth="1"/>
    <col min="3849" max="3849" width="15.140625" style="1" customWidth="1"/>
    <col min="3850" max="3850" width="14.85546875" style="1" customWidth="1"/>
    <col min="3851" max="3851" width="19.140625" style="1" customWidth="1"/>
    <col min="3852" max="3852" width="20.42578125" style="1" customWidth="1"/>
    <col min="3853" max="4096" width="9.140625" style="1"/>
    <col min="4097" max="4097" width="7.85546875" style="1" customWidth="1"/>
    <col min="4098" max="4098" width="21.42578125" style="1" customWidth="1"/>
    <col min="4099" max="4099" width="46.5703125" style="1" customWidth="1"/>
    <col min="4100" max="4102" width="0" style="1" hidden="1" customWidth="1"/>
    <col min="4103" max="4103" width="16.85546875" style="1" customWidth="1"/>
    <col min="4104" max="4104" width="18.5703125" style="1" customWidth="1"/>
    <col min="4105" max="4105" width="15.140625" style="1" customWidth="1"/>
    <col min="4106" max="4106" width="14.85546875" style="1" customWidth="1"/>
    <col min="4107" max="4107" width="19.140625" style="1" customWidth="1"/>
    <col min="4108" max="4108" width="20.42578125" style="1" customWidth="1"/>
    <col min="4109" max="4352" width="9.140625" style="1"/>
    <col min="4353" max="4353" width="7.85546875" style="1" customWidth="1"/>
    <col min="4354" max="4354" width="21.42578125" style="1" customWidth="1"/>
    <col min="4355" max="4355" width="46.5703125" style="1" customWidth="1"/>
    <col min="4356" max="4358" width="0" style="1" hidden="1" customWidth="1"/>
    <col min="4359" max="4359" width="16.85546875" style="1" customWidth="1"/>
    <col min="4360" max="4360" width="18.5703125" style="1" customWidth="1"/>
    <col min="4361" max="4361" width="15.140625" style="1" customWidth="1"/>
    <col min="4362" max="4362" width="14.85546875" style="1" customWidth="1"/>
    <col min="4363" max="4363" width="19.140625" style="1" customWidth="1"/>
    <col min="4364" max="4364" width="20.42578125" style="1" customWidth="1"/>
    <col min="4365" max="4608" width="9.140625" style="1"/>
    <col min="4609" max="4609" width="7.85546875" style="1" customWidth="1"/>
    <col min="4610" max="4610" width="21.42578125" style="1" customWidth="1"/>
    <col min="4611" max="4611" width="46.5703125" style="1" customWidth="1"/>
    <col min="4612" max="4614" width="0" style="1" hidden="1" customWidth="1"/>
    <col min="4615" max="4615" width="16.85546875" style="1" customWidth="1"/>
    <col min="4616" max="4616" width="18.5703125" style="1" customWidth="1"/>
    <col min="4617" max="4617" width="15.140625" style="1" customWidth="1"/>
    <col min="4618" max="4618" width="14.85546875" style="1" customWidth="1"/>
    <col min="4619" max="4619" width="19.140625" style="1" customWidth="1"/>
    <col min="4620" max="4620" width="20.42578125" style="1" customWidth="1"/>
    <col min="4621" max="4864" width="9.140625" style="1"/>
    <col min="4865" max="4865" width="7.85546875" style="1" customWidth="1"/>
    <col min="4866" max="4866" width="21.42578125" style="1" customWidth="1"/>
    <col min="4867" max="4867" width="46.5703125" style="1" customWidth="1"/>
    <col min="4868" max="4870" width="0" style="1" hidden="1" customWidth="1"/>
    <col min="4871" max="4871" width="16.85546875" style="1" customWidth="1"/>
    <col min="4872" max="4872" width="18.5703125" style="1" customWidth="1"/>
    <col min="4873" max="4873" width="15.140625" style="1" customWidth="1"/>
    <col min="4874" max="4874" width="14.85546875" style="1" customWidth="1"/>
    <col min="4875" max="4875" width="19.140625" style="1" customWidth="1"/>
    <col min="4876" max="4876" width="20.42578125" style="1" customWidth="1"/>
    <col min="4877" max="5120" width="9.140625" style="1"/>
    <col min="5121" max="5121" width="7.85546875" style="1" customWidth="1"/>
    <col min="5122" max="5122" width="21.42578125" style="1" customWidth="1"/>
    <col min="5123" max="5123" width="46.5703125" style="1" customWidth="1"/>
    <col min="5124" max="5126" width="0" style="1" hidden="1" customWidth="1"/>
    <col min="5127" max="5127" width="16.85546875" style="1" customWidth="1"/>
    <col min="5128" max="5128" width="18.5703125" style="1" customWidth="1"/>
    <col min="5129" max="5129" width="15.140625" style="1" customWidth="1"/>
    <col min="5130" max="5130" width="14.85546875" style="1" customWidth="1"/>
    <col min="5131" max="5131" width="19.140625" style="1" customWidth="1"/>
    <col min="5132" max="5132" width="20.42578125" style="1" customWidth="1"/>
    <col min="5133" max="5376" width="9.140625" style="1"/>
    <col min="5377" max="5377" width="7.85546875" style="1" customWidth="1"/>
    <col min="5378" max="5378" width="21.42578125" style="1" customWidth="1"/>
    <col min="5379" max="5379" width="46.5703125" style="1" customWidth="1"/>
    <col min="5380" max="5382" width="0" style="1" hidden="1" customWidth="1"/>
    <col min="5383" max="5383" width="16.85546875" style="1" customWidth="1"/>
    <col min="5384" max="5384" width="18.5703125" style="1" customWidth="1"/>
    <col min="5385" max="5385" width="15.140625" style="1" customWidth="1"/>
    <col min="5386" max="5386" width="14.85546875" style="1" customWidth="1"/>
    <col min="5387" max="5387" width="19.140625" style="1" customWidth="1"/>
    <col min="5388" max="5388" width="20.42578125" style="1" customWidth="1"/>
    <col min="5389" max="5632" width="9.140625" style="1"/>
    <col min="5633" max="5633" width="7.85546875" style="1" customWidth="1"/>
    <col min="5634" max="5634" width="21.42578125" style="1" customWidth="1"/>
    <col min="5635" max="5635" width="46.5703125" style="1" customWidth="1"/>
    <col min="5636" max="5638" width="0" style="1" hidden="1" customWidth="1"/>
    <col min="5639" max="5639" width="16.85546875" style="1" customWidth="1"/>
    <col min="5640" max="5640" width="18.5703125" style="1" customWidth="1"/>
    <col min="5641" max="5641" width="15.140625" style="1" customWidth="1"/>
    <col min="5642" max="5642" width="14.85546875" style="1" customWidth="1"/>
    <col min="5643" max="5643" width="19.140625" style="1" customWidth="1"/>
    <col min="5644" max="5644" width="20.42578125" style="1" customWidth="1"/>
    <col min="5645" max="5888" width="9.140625" style="1"/>
    <col min="5889" max="5889" width="7.85546875" style="1" customWidth="1"/>
    <col min="5890" max="5890" width="21.42578125" style="1" customWidth="1"/>
    <col min="5891" max="5891" width="46.5703125" style="1" customWidth="1"/>
    <col min="5892" max="5894" width="0" style="1" hidden="1" customWidth="1"/>
    <col min="5895" max="5895" width="16.85546875" style="1" customWidth="1"/>
    <col min="5896" max="5896" width="18.5703125" style="1" customWidth="1"/>
    <col min="5897" max="5897" width="15.140625" style="1" customWidth="1"/>
    <col min="5898" max="5898" width="14.85546875" style="1" customWidth="1"/>
    <col min="5899" max="5899" width="19.140625" style="1" customWidth="1"/>
    <col min="5900" max="5900" width="20.42578125" style="1" customWidth="1"/>
    <col min="5901" max="6144" width="9.140625" style="1"/>
    <col min="6145" max="6145" width="7.85546875" style="1" customWidth="1"/>
    <col min="6146" max="6146" width="21.42578125" style="1" customWidth="1"/>
    <col min="6147" max="6147" width="46.5703125" style="1" customWidth="1"/>
    <col min="6148" max="6150" width="0" style="1" hidden="1" customWidth="1"/>
    <col min="6151" max="6151" width="16.85546875" style="1" customWidth="1"/>
    <col min="6152" max="6152" width="18.5703125" style="1" customWidth="1"/>
    <col min="6153" max="6153" width="15.140625" style="1" customWidth="1"/>
    <col min="6154" max="6154" width="14.85546875" style="1" customWidth="1"/>
    <col min="6155" max="6155" width="19.140625" style="1" customWidth="1"/>
    <col min="6156" max="6156" width="20.42578125" style="1" customWidth="1"/>
    <col min="6157" max="6400" width="9.140625" style="1"/>
    <col min="6401" max="6401" width="7.85546875" style="1" customWidth="1"/>
    <col min="6402" max="6402" width="21.42578125" style="1" customWidth="1"/>
    <col min="6403" max="6403" width="46.5703125" style="1" customWidth="1"/>
    <col min="6404" max="6406" width="0" style="1" hidden="1" customWidth="1"/>
    <col min="6407" max="6407" width="16.85546875" style="1" customWidth="1"/>
    <col min="6408" max="6408" width="18.5703125" style="1" customWidth="1"/>
    <col min="6409" max="6409" width="15.140625" style="1" customWidth="1"/>
    <col min="6410" max="6410" width="14.85546875" style="1" customWidth="1"/>
    <col min="6411" max="6411" width="19.140625" style="1" customWidth="1"/>
    <col min="6412" max="6412" width="20.42578125" style="1" customWidth="1"/>
    <col min="6413" max="6656" width="9.140625" style="1"/>
    <col min="6657" max="6657" width="7.85546875" style="1" customWidth="1"/>
    <col min="6658" max="6658" width="21.42578125" style="1" customWidth="1"/>
    <col min="6659" max="6659" width="46.5703125" style="1" customWidth="1"/>
    <col min="6660" max="6662" width="0" style="1" hidden="1" customWidth="1"/>
    <col min="6663" max="6663" width="16.85546875" style="1" customWidth="1"/>
    <col min="6664" max="6664" width="18.5703125" style="1" customWidth="1"/>
    <col min="6665" max="6665" width="15.140625" style="1" customWidth="1"/>
    <col min="6666" max="6666" width="14.85546875" style="1" customWidth="1"/>
    <col min="6667" max="6667" width="19.140625" style="1" customWidth="1"/>
    <col min="6668" max="6668" width="20.42578125" style="1" customWidth="1"/>
    <col min="6669" max="6912" width="9.140625" style="1"/>
    <col min="6913" max="6913" width="7.85546875" style="1" customWidth="1"/>
    <col min="6914" max="6914" width="21.42578125" style="1" customWidth="1"/>
    <col min="6915" max="6915" width="46.5703125" style="1" customWidth="1"/>
    <col min="6916" max="6918" width="0" style="1" hidden="1" customWidth="1"/>
    <col min="6919" max="6919" width="16.85546875" style="1" customWidth="1"/>
    <col min="6920" max="6920" width="18.5703125" style="1" customWidth="1"/>
    <col min="6921" max="6921" width="15.140625" style="1" customWidth="1"/>
    <col min="6922" max="6922" width="14.85546875" style="1" customWidth="1"/>
    <col min="6923" max="6923" width="19.140625" style="1" customWidth="1"/>
    <col min="6924" max="6924" width="20.42578125" style="1" customWidth="1"/>
    <col min="6925" max="7168" width="9.140625" style="1"/>
    <col min="7169" max="7169" width="7.85546875" style="1" customWidth="1"/>
    <col min="7170" max="7170" width="21.42578125" style="1" customWidth="1"/>
    <col min="7171" max="7171" width="46.5703125" style="1" customWidth="1"/>
    <col min="7172" max="7174" width="0" style="1" hidden="1" customWidth="1"/>
    <col min="7175" max="7175" width="16.85546875" style="1" customWidth="1"/>
    <col min="7176" max="7176" width="18.5703125" style="1" customWidth="1"/>
    <col min="7177" max="7177" width="15.140625" style="1" customWidth="1"/>
    <col min="7178" max="7178" width="14.85546875" style="1" customWidth="1"/>
    <col min="7179" max="7179" width="19.140625" style="1" customWidth="1"/>
    <col min="7180" max="7180" width="20.42578125" style="1" customWidth="1"/>
    <col min="7181" max="7424" width="9.140625" style="1"/>
    <col min="7425" max="7425" width="7.85546875" style="1" customWidth="1"/>
    <col min="7426" max="7426" width="21.42578125" style="1" customWidth="1"/>
    <col min="7427" max="7427" width="46.5703125" style="1" customWidth="1"/>
    <col min="7428" max="7430" width="0" style="1" hidden="1" customWidth="1"/>
    <col min="7431" max="7431" width="16.85546875" style="1" customWidth="1"/>
    <col min="7432" max="7432" width="18.5703125" style="1" customWidth="1"/>
    <col min="7433" max="7433" width="15.140625" style="1" customWidth="1"/>
    <col min="7434" max="7434" width="14.85546875" style="1" customWidth="1"/>
    <col min="7435" max="7435" width="19.140625" style="1" customWidth="1"/>
    <col min="7436" max="7436" width="20.42578125" style="1" customWidth="1"/>
    <col min="7437" max="7680" width="9.140625" style="1"/>
    <col min="7681" max="7681" width="7.85546875" style="1" customWidth="1"/>
    <col min="7682" max="7682" width="21.42578125" style="1" customWidth="1"/>
    <col min="7683" max="7683" width="46.5703125" style="1" customWidth="1"/>
    <col min="7684" max="7686" width="0" style="1" hidden="1" customWidth="1"/>
    <col min="7687" max="7687" width="16.85546875" style="1" customWidth="1"/>
    <col min="7688" max="7688" width="18.5703125" style="1" customWidth="1"/>
    <col min="7689" max="7689" width="15.140625" style="1" customWidth="1"/>
    <col min="7690" max="7690" width="14.85546875" style="1" customWidth="1"/>
    <col min="7691" max="7691" width="19.140625" style="1" customWidth="1"/>
    <col min="7692" max="7692" width="20.42578125" style="1" customWidth="1"/>
    <col min="7693" max="7936" width="9.140625" style="1"/>
    <col min="7937" max="7937" width="7.85546875" style="1" customWidth="1"/>
    <col min="7938" max="7938" width="21.42578125" style="1" customWidth="1"/>
    <col min="7939" max="7939" width="46.5703125" style="1" customWidth="1"/>
    <col min="7940" max="7942" width="0" style="1" hidden="1" customWidth="1"/>
    <col min="7943" max="7943" width="16.85546875" style="1" customWidth="1"/>
    <col min="7944" max="7944" width="18.5703125" style="1" customWidth="1"/>
    <col min="7945" max="7945" width="15.140625" style="1" customWidth="1"/>
    <col min="7946" max="7946" width="14.85546875" style="1" customWidth="1"/>
    <col min="7947" max="7947" width="19.140625" style="1" customWidth="1"/>
    <col min="7948" max="7948" width="20.42578125" style="1" customWidth="1"/>
    <col min="7949" max="8192" width="9.140625" style="1"/>
    <col min="8193" max="8193" width="7.85546875" style="1" customWidth="1"/>
    <col min="8194" max="8194" width="21.42578125" style="1" customWidth="1"/>
    <col min="8195" max="8195" width="46.5703125" style="1" customWidth="1"/>
    <col min="8196" max="8198" width="0" style="1" hidden="1" customWidth="1"/>
    <col min="8199" max="8199" width="16.85546875" style="1" customWidth="1"/>
    <col min="8200" max="8200" width="18.5703125" style="1" customWidth="1"/>
    <col min="8201" max="8201" width="15.140625" style="1" customWidth="1"/>
    <col min="8202" max="8202" width="14.85546875" style="1" customWidth="1"/>
    <col min="8203" max="8203" width="19.140625" style="1" customWidth="1"/>
    <col min="8204" max="8204" width="20.42578125" style="1" customWidth="1"/>
    <col min="8205" max="8448" width="9.140625" style="1"/>
    <col min="8449" max="8449" width="7.85546875" style="1" customWidth="1"/>
    <col min="8450" max="8450" width="21.42578125" style="1" customWidth="1"/>
    <col min="8451" max="8451" width="46.5703125" style="1" customWidth="1"/>
    <col min="8452" max="8454" width="0" style="1" hidden="1" customWidth="1"/>
    <col min="8455" max="8455" width="16.85546875" style="1" customWidth="1"/>
    <col min="8456" max="8456" width="18.5703125" style="1" customWidth="1"/>
    <col min="8457" max="8457" width="15.140625" style="1" customWidth="1"/>
    <col min="8458" max="8458" width="14.85546875" style="1" customWidth="1"/>
    <col min="8459" max="8459" width="19.140625" style="1" customWidth="1"/>
    <col min="8460" max="8460" width="20.42578125" style="1" customWidth="1"/>
    <col min="8461" max="8704" width="9.140625" style="1"/>
    <col min="8705" max="8705" width="7.85546875" style="1" customWidth="1"/>
    <col min="8706" max="8706" width="21.42578125" style="1" customWidth="1"/>
    <col min="8707" max="8707" width="46.5703125" style="1" customWidth="1"/>
    <col min="8708" max="8710" width="0" style="1" hidden="1" customWidth="1"/>
    <col min="8711" max="8711" width="16.85546875" style="1" customWidth="1"/>
    <col min="8712" max="8712" width="18.5703125" style="1" customWidth="1"/>
    <col min="8713" max="8713" width="15.140625" style="1" customWidth="1"/>
    <col min="8714" max="8714" width="14.85546875" style="1" customWidth="1"/>
    <col min="8715" max="8715" width="19.140625" style="1" customWidth="1"/>
    <col min="8716" max="8716" width="20.42578125" style="1" customWidth="1"/>
    <col min="8717" max="8960" width="9.140625" style="1"/>
    <col min="8961" max="8961" width="7.85546875" style="1" customWidth="1"/>
    <col min="8962" max="8962" width="21.42578125" style="1" customWidth="1"/>
    <col min="8963" max="8963" width="46.5703125" style="1" customWidth="1"/>
    <col min="8964" max="8966" width="0" style="1" hidden="1" customWidth="1"/>
    <col min="8967" max="8967" width="16.85546875" style="1" customWidth="1"/>
    <col min="8968" max="8968" width="18.5703125" style="1" customWidth="1"/>
    <col min="8969" max="8969" width="15.140625" style="1" customWidth="1"/>
    <col min="8970" max="8970" width="14.85546875" style="1" customWidth="1"/>
    <col min="8971" max="8971" width="19.140625" style="1" customWidth="1"/>
    <col min="8972" max="8972" width="20.42578125" style="1" customWidth="1"/>
    <col min="8973" max="9216" width="9.140625" style="1"/>
    <col min="9217" max="9217" width="7.85546875" style="1" customWidth="1"/>
    <col min="9218" max="9218" width="21.42578125" style="1" customWidth="1"/>
    <col min="9219" max="9219" width="46.5703125" style="1" customWidth="1"/>
    <col min="9220" max="9222" width="0" style="1" hidden="1" customWidth="1"/>
    <col min="9223" max="9223" width="16.85546875" style="1" customWidth="1"/>
    <col min="9224" max="9224" width="18.5703125" style="1" customWidth="1"/>
    <col min="9225" max="9225" width="15.140625" style="1" customWidth="1"/>
    <col min="9226" max="9226" width="14.85546875" style="1" customWidth="1"/>
    <col min="9227" max="9227" width="19.140625" style="1" customWidth="1"/>
    <col min="9228" max="9228" width="20.42578125" style="1" customWidth="1"/>
    <col min="9229" max="9472" width="9.140625" style="1"/>
    <col min="9473" max="9473" width="7.85546875" style="1" customWidth="1"/>
    <col min="9474" max="9474" width="21.42578125" style="1" customWidth="1"/>
    <col min="9475" max="9475" width="46.5703125" style="1" customWidth="1"/>
    <col min="9476" max="9478" width="0" style="1" hidden="1" customWidth="1"/>
    <col min="9479" max="9479" width="16.85546875" style="1" customWidth="1"/>
    <col min="9480" max="9480" width="18.5703125" style="1" customWidth="1"/>
    <col min="9481" max="9481" width="15.140625" style="1" customWidth="1"/>
    <col min="9482" max="9482" width="14.85546875" style="1" customWidth="1"/>
    <col min="9483" max="9483" width="19.140625" style="1" customWidth="1"/>
    <col min="9484" max="9484" width="20.42578125" style="1" customWidth="1"/>
    <col min="9485" max="9728" width="9.140625" style="1"/>
    <col min="9729" max="9729" width="7.85546875" style="1" customWidth="1"/>
    <col min="9730" max="9730" width="21.42578125" style="1" customWidth="1"/>
    <col min="9731" max="9731" width="46.5703125" style="1" customWidth="1"/>
    <col min="9732" max="9734" width="0" style="1" hidden="1" customWidth="1"/>
    <col min="9735" max="9735" width="16.85546875" style="1" customWidth="1"/>
    <col min="9736" max="9736" width="18.5703125" style="1" customWidth="1"/>
    <col min="9737" max="9737" width="15.140625" style="1" customWidth="1"/>
    <col min="9738" max="9738" width="14.85546875" style="1" customWidth="1"/>
    <col min="9739" max="9739" width="19.140625" style="1" customWidth="1"/>
    <col min="9740" max="9740" width="20.42578125" style="1" customWidth="1"/>
    <col min="9741" max="9984" width="9.140625" style="1"/>
    <col min="9985" max="9985" width="7.85546875" style="1" customWidth="1"/>
    <col min="9986" max="9986" width="21.42578125" style="1" customWidth="1"/>
    <col min="9987" max="9987" width="46.5703125" style="1" customWidth="1"/>
    <col min="9988" max="9990" width="0" style="1" hidden="1" customWidth="1"/>
    <col min="9991" max="9991" width="16.85546875" style="1" customWidth="1"/>
    <col min="9992" max="9992" width="18.5703125" style="1" customWidth="1"/>
    <col min="9993" max="9993" width="15.140625" style="1" customWidth="1"/>
    <col min="9994" max="9994" width="14.85546875" style="1" customWidth="1"/>
    <col min="9995" max="9995" width="19.140625" style="1" customWidth="1"/>
    <col min="9996" max="9996" width="20.42578125" style="1" customWidth="1"/>
    <col min="9997" max="10240" width="9.140625" style="1"/>
    <col min="10241" max="10241" width="7.85546875" style="1" customWidth="1"/>
    <col min="10242" max="10242" width="21.42578125" style="1" customWidth="1"/>
    <col min="10243" max="10243" width="46.5703125" style="1" customWidth="1"/>
    <col min="10244" max="10246" width="0" style="1" hidden="1" customWidth="1"/>
    <col min="10247" max="10247" width="16.85546875" style="1" customWidth="1"/>
    <col min="10248" max="10248" width="18.5703125" style="1" customWidth="1"/>
    <col min="10249" max="10249" width="15.140625" style="1" customWidth="1"/>
    <col min="10250" max="10250" width="14.85546875" style="1" customWidth="1"/>
    <col min="10251" max="10251" width="19.140625" style="1" customWidth="1"/>
    <col min="10252" max="10252" width="20.42578125" style="1" customWidth="1"/>
    <col min="10253" max="10496" width="9.140625" style="1"/>
    <col min="10497" max="10497" width="7.85546875" style="1" customWidth="1"/>
    <col min="10498" max="10498" width="21.42578125" style="1" customWidth="1"/>
    <col min="10499" max="10499" width="46.5703125" style="1" customWidth="1"/>
    <col min="10500" max="10502" width="0" style="1" hidden="1" customWidth="1"/>
    <col min="10503" max="10503" width="16.85546875" style="1" customWidth="1"/>
    <col min="10504" max="10504" width="18.5703125" style="1" customWidth="1"/>
    <col min="10505" max="10505" width="15.140625" style="1" customWidth="1"/>
    <col min="10506" max="10506" width="14.85546875" style="1" customWidth="1"/>
    <col min="10507" max="10507" width="19.140625" style="1" customWidth="1"/>
    <col min="10508" max="10508" width="20.42578125" style="1" customWidth="1"/>
    <col min="10509" max="10752" width="9.140625" style="1"/>
    <col min="10753" max="10753" width="7.85546875" style="1" customWidth="1"/>
    <col min="10754" max="10754" width="21.42578125" style="1" customWidth="1"/>
    <col min="10755" max="10755" width="46.5703125" style="1" customWidth="1"/>
    <col min="10756" max="10758" width="0" style="1" hidden="1" customWidth="1"/>
    <col min="10759" max="10759" width="16.85546875" style="1" customWidth="1"/>
    <col min="10760" max="10760" width="18.5703125" style="1" customWidth="1"/>
    <col min="10761" max="10761" width="15.140625" style="1" customWidth="1"/>
    <col min="10762" max="10762" width="14.85546875" style="1" customWidth="1"/>
    <col min="10763" max="10763" width="19.140625" style="1" customWidth="1"/>
    <col min="10764" max="10764" width="20.42578125" style="1" customWidth="1"/>
    <col min="10765" max="11008" width="9.140625" style="1"/>
    <col min="11009" max="11009" width="7.85546875" style="1" customWidth="1"/>
    <col min="11010" max="11010" width="21.42578125" style="1" customWidth="1"/>
    <col min="11011" max="11011" width="46.5703125" style="1" customWidth="1"/>
    <col min="11012" max="11014" width="0" style="1" hidden="1" customWidth="1"/>
    <col min="11015" max="11015" width="16.85546875" style="1" customWidth="1"/>
    <col min="11016" max="11016" width="18.5703125" style="1" customWidth="1"/>
    <col min="11017" max="11017" width="15.140625" style="1" customWidth="1"/>
    <col min="11018" max="11018" width="14.85546875" style="1" customWidth="1"/>
    <col min="11019" max="11019" width="19.140625" style="1" customWidth="1"/>
    <col min="11020" max="11020" width="20.42578125" style="1" customWidth="1"/>
    <col min="11021" max="11264" width="9.140625" style="1"/>
    <col min="11265" max="11265" width="7.85546875" style="1" customWidth="1"/>
    <col min="11266" max="11266" width="21.42578125" style="1" customWidth="1"/>
    <col min="11267" max="11267" width="46.5703125" style="1" customWidth="1"/>
    <col min="11268" max="11270" width="0" style="1" hidden="1" customWidth="1"/>
    <col min="11271" max="11271" width="16.85546875" style="1" customWidth="1"/>
    <col min="11272" max="11272" width="18.5703125" style="1" customWidth="1"/>
    <col min="11273" max="11273" width="15.140625" style="1" customWidth="1"/>
    <col min="11274" max="11274" width="14.85546875" style="1" customWidth="1"/>
    <col min="11275" max="11275" width="19.140625" style="1" customWidth="1"/>
    <col min="11276" max="11276" width="20.42578125" style="1" customWidth="1"/>
    <col min="11277" max="11520" width="9.140625" style="1"/>
    <col min="11521" max="11521" width="7.85546875" style="1" customWidth="1"/>
    <col min="11522" max="11522" width="21.42578125" style="1" customWidth="1"/>
    <col min="11523" max="11523" width="46.5703125" style="1" customWidth="1"/>
    <col min="11524" max="11526" width="0" style="1" hidden="1" customWidth="1"/>
    <col min="11527" max="11527" width="16.85546875" style="1" customWidth="1"/>
    <col min="11528" max="11528" width="18.5703125" style="1" customWidth="1"/>
    <col min="11529" max="11529" width="15.140625" style="1" customWidth="1"/>
    <col min="11530" max="11530" width="14.85546875" style="1" customWidth="1"/>
    <col min="11531" max="11531" width="19.140625" style="1" customWidth="1"/>
    <col min="11532" max="11532" width="20.42578125" style="1" customWidth="1"/>
    <col min="11533" max="11776" width="9.140625" style="1"/>
    <col min="11777" max="11777" width="7.85546875" style="1" customWidth="1"/>
    <col min="11778" max="11778" width="21.42578125" style="1" customWidth="1"/>
    <col min="11779" max="11779" width="46.5703125" style="1" customWidth="1"/>
    <col min="11780" max="11782" width="0" style="1" hidden="1" customWidth="1"/>
    <col min="11783" max="11783" width="16.85546875" style="1" customWidth="1"/>
    <col min="11784" max="11784" width="18.5703125" style="1" customWidth="1"/>
    <col min="11785" max="11785" width="15.140625" style="1" customWidth="1"/>
    <col min="11786" max="11786" width="14.85546875" style="1" customWidth="1"/>
    <col min="11787" max="11787" width="19.140625" style="1" customWidth="1"/>
    <col min="11788" max="11788" width="20.42578125" style="1" customWidth="1"/>
    <col min="11789" max="12032" width="9.140625" style="1"/>
    <col min="12033" max="12033" width="7.85546875" style="1" customWidth="1"/>
    <col min="12034" max="12034" width="21.42578125" style="1" customWidth="1"/>
    <col min="12035" max="12035" width="46.5703125" style="1" customWidth="1"/>
    <col min="12036" max="12038" width="0" style="1" hidden="1" customWidth="1"/>
    <col min="12039" max="12039" width="16.85546875" style="1" customWidth="1"/>
    <col min="12040" max="12040" width="18.5703125" style="1" customWidth="1"/>
    <col min="12041" max="12041" width="15.140625" style="1" customWidth="1"/>
    <col min="12042" max="12042" width="14.85546875" style="1" customWidth="1"/>
    <col min="12043" max="12043" width="19.140625" style="1" customWidth="1"/>
    <col min="12044" max="12044" width="20.42578125" style="1" customWidth="1"/>
    <col min="12045" max="12288" width="9.140625" style="1"/>
    <col min="12289" max="12289" width="7.85546875" style="1" customWidth="1"/>
    <col min="12290" max="12290" width="21.42578125" style="1" customWidth="1"/>
    <col min="12291" max="12291" width="46.5703125" style="1" customWidth="1"/>
    <col min="12292" max="12294" width="0" style="1" hidden="1" customWidth="1"/>
    <col min="12295" max="12295" width="16.85546875" style="1" customWidth="1"/>
    <col min="12296" max="12296" width="18.5703125" style="1" customWidth="1"/>
    <col min="12297" max="12297" width="15.140625" style="1" customWidth="1"/>
    <col min="12298" max="12298" width="14.85546875" style="1" customWidth="1"/>
    <col min="12299" max="12299" width="19.140625" style="1" customWidth="1"/>
    <col min="12300" max="12300" width="20.42578125" style="1" customWidth="1"/>
    <col min="12301" max="12544" width="9.140625" style="1"/>
    <col min="12545" max="12545" width="7.85546875" style="1" customWidth="1"/>
    <col min="12546" max="12546" width="21.42578125" style="1" customWidth="1"/>
    <col min="12547" max="12547" width="46.5703125" style="1" customWidth="1"/>
    <col min="12548" max="12550" width="0" style="1" hidden="1" customWidth="1"/>
    <col min="12551" max="12551" width="16.85546875" style="1" customWidth="1"/>
    <col min="12552" max="12552" width="18.5703125" style="1" customWidth="1"/>
    <col min="12553" max="12553" width="15.140625" style="1" customWidth="1"/>
    <col min="12554" max="12554" width="14.85546875" style="1" customWidth="1"/>
    <col min="12555" max="12555" width="19.140625" style="1" customWidth="1"/>
    <col min="12556" max="12556" width="20.42578125" style="1" customWidth="1"/>
    <col min="12557" max="12800" width="9.140625" style="1"/>
    <col min="12801" max="12801" width="7.85546875" style="1" customWidth="1"/>
    <col min="12802" max="12802" width="21.42578125" style="1" customWidth="1"/>
    <col min="12803" max="12803" width="46.5703125" style="1" customWidth="1"/>
    <col min="12804" max="12806" width="0" style="1" hidden="1" customWidth="1"/>
    <col min="12807" max="12807" width="16.85546875" style="1" customWidth="1"/>
    <col min="12808" max="12808" width="18.5703125" style="1" customWidth="1"/>
    <col min="12809" max="12809" width="15.140625" style="1" customWidth="1"/>
    <col min="12810" max="12810" width="14.85546875" style="1" customWidth="1"/>
    <col min="12811" max="12811" width="19.140625" style="1" customWidth="1"/>
    <col min="12812" max="12812" width="20.42578125" style="1" customWidth="1"/>
    <col min="12813" max="13056" width="9.140625" style="1"/>
    <col min="13057" max="13057" width="7.85546875" style="1" customWidth="1"/>
    <col min="13058" max="13058" width="21.42578125" style="1" customWidth="1"/>
    <col min="13059" max="13059" width="46.5703125" style="1" customWidth="1"/>
    <col min="13060" max="13062" width="0" style="1" hidden="1" customWidth="1"/>
    <col min="13063" max="13063" width="16.85546875" style="1" customWidth="1"/>
    <col min="13064" max="13064" width="18.5703125" style="1" customWidth="1"/>
    <col min="13065" max="13065" width="15.140625" style="1" customWidth="1"/>
    <col min="13066" max="13066" width="14.85546875" style="1" customWidth="1"/>
    <col min="13067" max="13067" width="19.140625" style="1" customWidth="1"/>
    <col min="13068" max="13068" width="20.42578125" style="1" customWidth="1"/>
    <col min="13069" max="13312" width="9.140625" style="1"/>
    <col min="13313" max="13313" width="7.85546875" style="1" customWidth="1"/>
    <col min="13314" max="13314" width="21.42578125" style="1" customWidth="1"/>
    <col min="13315" max="13315" width="46.5703125" style="1" customWidth="1"/>
    <col min="13316" max="13318" width="0" style="1" hidden="1" customWidth="1"/>
    <col min="13319" max="13319" width="16.85546875" style="1" customWidth="1"/>
    <col min="13320" max="13320" width="18.5703125" style="1" customWidth="1"/>
    <col min="13321" max="13321" width="15.140625" style="1" customWidth="1"/>
    <col min="13322" max="13322" width="14.85546875" style="1" customWidth="1"/>
    <col min="13323" max="13323" width="19.140625" style="1" customWidth="1"/>
    <col min="13324" max="13324" width="20.42578125" style="1" customWidth="1"/>
    <col min="13325" max="13568" width="9.140625" style="1"/>
    <col min="13569" max="13569" width="7.85546875" style="1" customWidth="1"/>
    <col min="13570" max="13570" width="21.42578125" style="1" customWidth="1"/>
    <col min="13571" max="13571" width="46.5703125" style="1" customWidth="1"/>
    <col min="13572" max="13574" width="0" style="1" hidden="1" customWidth="1"/>
    <col min="13575" max="13575" width="16.85546875" style="1" customWidth="1"/>
    <col min="13576" max="13576" width="18.5703125" style="1" customWidth="1"/>
    <col min="13577" max="13577" width="15.140625" style="1" customWidth="1"/>
    <col min="13578" max="13578" width="14.85546875" style="1" customWidth="1"/>
    <col min="13579" max="13579" width="19.140625" style="1" customWidth="1"/>
    <col min="13580" max="13580" width="20.42578125" style="1" customWidth="1"/>
    <col min="13581" max="13824" width="9.140625" style="1"/>
    <col min="13825" max="13825" width="7.85546875" style="1" customWidth="1"/>
    <col min="13826" max="13826" width="21.42578125" style="1" customWidth="1"/>
    <col min="13827" max="13827" width="46.5703125" style="1" customWidth="1"/>
    <col min="13828" max="13830" width="0" style="1" hidden="1" customWidth="1"/>
    <col min="13831" max="13831" width="16.85546875" style="1" customWidth="1"/>
    <col min="13832" max="13832" width="18.5703125" style="1" customWidth="1"/>
    <col min="13833" max="13833" width="15.140625" style="1" customWidth="1"/>
    <col min="13834" max="13834" width="14.85546875" style="1" customWidth="1"/>
    <col min="13835" max="13835" width="19.140625" style="1" customWidth="1"/>
    <col min="13836" max="13836" width="20.42578125" style="1" customWidth="1"/>
    <col min="13837" max="14080" width="9.140625" style="1"/>
    <col min="14081" max="14081" width="7.85546875" style="1" customWidth="1"/>
    <col min="14082" max="14082" width="21.42578125" style="1" customWidth="1"/>
    <col min="14083" max="14083" width="46.5703125" style="1" customWidth="1"/>
    <col min="14084" max="14086" width="0" style="1" hidden="1" customWidth="1"/>
    <col min="14087" max="14087" width="16.85546875" style="1" customWidth="1"/>
    <col min="14088" max="14088" width="18.5703125" style="1" customWidth="1"/>
    <col min="14089" max="14089" width="15.140625" style="1" customWidth="1"/>
    <col min="14090" max="14090" width="14.85546875" style="1" customWidth="1"/>
    <col min="14091" max="14091" width="19.140625" style="1" customWidth="1"/>
    <col min="14092" max="14092" width="20.42578125" style="1" customWidth="1"/>
    <col min="14093" max="14336" width="9.140625" style="1"/>
    <col min="14337" max="14337" width="7.85546875" style="1" customWidth="1"/>
    <col min="14338" max="14338" width="21.42578125" style="1" customWidth="1"/>
    <col min="14339" max="14339" width="46.5703125" style="1" customWidth="1"/>
    <col min="14340" max="14342" width="0" style="1" hidden="1" customWidth="1"/>
    <col min="14343" max="14343" width="16.85546875" style="1" customWidth="1"/>
    <col min="14344" max="14344" width="18.5703125" style="1" customWidth="1"/>
    <col min="14345" max="14345" width="15.140625" style="1" customWidth="1"/>
    <col min="14346" max="14346" width="14.85546875" style="1" customWidth="1"/>
    <col min="14347" max="14347" width="19.140625" style="1" customWidth="1"/>
    <col min="14348" max="14348" width="20.42578125" style="1" customWidth="1"/>
    <col min="14349" max="14592" width="9.140625" style="1"/>
    <col min="14593" max="14593" width="7.85546875" style="1" customWidth="1"/>
    <col min="14594" max="14594" width="21.42578125" style="1" customWidth="1"/>
    <col min="14595" max="14595" width="46.5703125" style="1" customWidth="1"/>
    <col min="14596" max="14598" width="0" style="1" hidden="1" customWidth="1"/>
    <col min="14599" max="14599" width="16.85546875" style="1" customWidth="1"/>
    <col min="14600" max="14600" width="18.5703125" style="1" customWidth="1"/>
    <col min="14601" max="14601" width="15.140625" style="1" customWidth="1"/>
    <col min="14602" max="14602" width="14.85546875" style="1" customWidth="1"/>
    <col min="14603" max="14603" width="19.140625" style="1" customWidth="1"/>
    <col min="14604" max="14604" width="20.42578125" style="1" customWidth="1"/>
    <col min="14605" max="14848" width="9.140625" style="1"/>
    <col min="14849" max="14849" width="7.85546875" style="1" customWidth="1"/>
    <col min="14850" max="14850" width="21.42578125" style="1" customWidth="1"/>
    <col min="14851" max="14851" width="46.5703125" style="1" customWidth="1"/>
    <col min="14852" max="14854" width="0" style="1" hidden="1" customWidth="1"/>
    <col min="14855" max="14855" width="16.85546875" style="1" customWidth="1"/>
    <col min="14856" max="14856" width="18.5703125" style="1" customWidth="1"/>
    <col min="14857" max="14857" width="15.140625" style="1" customWidth="1"/>
    <col min="14858" max="14858" width="14.85546875" style="1" customWidth="1"/>
    <col min="14859" max="14859" width="19.140625" style="1" customWidth="1"/>
    <col min="14860" max="14860" width="20.42578125" style="1" customWidth="1"/>
    <col min="14861" max="15104" width="9.140625" style="1"/>
    <col min="15105" max="15105" width="7.85546875" style="1" customWidth="1"/>
    <col min="15106" max="15106" width="21.42578125" style="1" customWidth="1"/>
    <col min="15107" max="15107" width="46.5703125" style="1" customWidth="1"/>
    <col min="15108" max="15110" width="0" style="1" hidden="1" customWidth="1"/>
    <col min="15111" max="15111" width="16.85546875" style="1" customWidth="1"/>
    <col min="15112" max="15112" width="18.5703125" style="1" customWidth="1"/>
    <col min="15113" max="15113" width="15.140625" style="1" customWidth="1"/>
    <col min="15114" max="15114" width="14.85546875" style="1" customWidth="1"/>
    <col min="15115" max="15115" width="19.140625" style="1" customWidth="1"/>
    <col min="15116" max="15116" width="20.42578125" style="1" customWidth="1"/>
    <col min="15117" max="15360" width="9.140625" style="1"/>
    <col min="15361" max="15361" width="7.85546875" style="1" customWidth="1"/>
    <col min="15362" max="15362" width="21.42578125" style="1" customWidth="1"/>
    <col min="15363" max="15363" width="46.5703125" style="1" customWidth="1"/>
    <col min="15364" max="15366" width="0" style="1" hidden="1" customWidth="1"/>
    <col min="15367" max="15367" width="16.85546875" style="1" customWidth="1"/>
    <col min="15368" max="15368" width="18.5703125" style="1" customWidth="1"/>
    <col min="15369" max="15369" width="15.140625" style="1" customWidth="1"/>
    <col min="15370" max="15370" width="14.85546875" style="1" customWidth="1"/>
    <col min="15371" max="15371" width="19.140625" style="1" customWidth="1"/>
    <col min="15372" max="15372" width="20.42578125" style="1" customWidth="1"/>
    <col min="15373" max="15616" width="9.140625" style="1"/>
    <col min="15617" max="15617" width="7.85546875" style="1" customWidth="1"/>
    <col min="15618" max="15618" width="21.42578125" style="1" customWidth="1"/>
    <col min="15619" max="15619" width="46.5703125" style="1" customWidth="1"/>
    <col min="15620" max="15622" width="0" style="1" hidden="1" customWidth="1"/>
    <col min="15623" max="15623" width="16.85546875" style="1" customWidth="1"/>
    <col min="15624" max="15624" width="18.5703125" style="1" customWidth="1"/>
    <col min="15625" max="15625" width="15.140625" style="1" customWidth="1"/>
    <col min="15626" max="15626" width="14.85546875" style="1" customWidth="1"/>
    <col min="15627" max="15627" width="19.140625" style="1" customWidth="1"/>
    <col min="15628" max="15628" width="20.42578125" style="1" customWidth="1"/>
    <col min="15629" max="15872" width="9.140625" style="1"/>
    <col min="15873" max="15873" width="7.85546875" style="1" customWidth="1"/>
    <col min="15874" max="15874" width="21.42578125" style="1" customWidth="1"/>
    <col min="15875" max="15875" width="46.5703125" style="1" customWidth="1"/>
    <col min="15876" max="15878" width="0" style="1" hidden="1" customWidth="1"/>
    <col min="15879" max="15879" width="16.85546875" style="1" customWidth="1"/>
    <col min="15880" max="15880" width="18.5703125" style="1" customWidth="1"/>
    <col min="15881" max="15881" width="15.140625" style="1" customWidth="1"/>
    <col min="15882" max="15882" width="14.85546875" style="1" customWidth="1"/>
    <col min="15883" max="15883" width="19.140625" style="1" customWidth="1"/>
    <col min="15884" max="15884" width="20.42578125" style="1" customWidth="1"/>
    <col min="15885" max="16128" width="9.140625" style="1"/>
    <col min="16129" max="16129" width="7.85546875" style="1" customWidth="1"/>
    <col min="16130" max="16130" width="21.42578125" style="1" customWidth="1"/>
    <col min="16131" max="16131" width="46.5703125" style="1" customWidth="1"/>
    <col min="16132" max="16134" width="0" style="1" hidden="1" customWidth="1"/>
    <col min="16135" max="16135" width="16.85546875" style="1" customWidth="1"/>
    <col min="16136" max="16136" width="18.5703125" style="1" customWidth="1"/>
    <col min="16137" max="16137" width="15.140625" style="1" customWidth="1"/>
    <col min="16138" max="16138" width="14.85546875" style="1" customWidth="1"/>
    <col min="16139" max="16139" width="19.140625" style="1" customWidth="1"/>
    <col min="16140" max="16140" width="20.42578125" style="1" customWidth="1"/>
    <col min="16141" max="16384" width="9.140625" style="1"/>
  </cols>
  <sheetData>
    <row r="1" spans="1:15" ht="26.25">
      <c r="A1" s="665" t="s">
        <v>235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</row>
    <row r="2" spans="1:15">
      <c r="L2" s="536" t="s">
        <v>908</v>
      </c>
    </row>
    <row r="3" spans="1:15" ht="21" customHeight="1">
      <c r="A3" s="675" t="s">
        <v>0</v>
      </c>
      <c r="B3" s="675" t="s">
        <v>1</v>
      </c>
      <c r="C3" s="675" t="s">
        <v>2</v>
      </c>
      <c r="D3" s="675" t="s">
        <v>3</v>
      </c>
      <c r="E3" s="675" t="s">
        <v>4</v>
      </c>
      <c r="F3" s="675" t="s">
        <v>5</v>
      </c>
      <c r="G3" s="675" t="s">
        <v>6</v>
      </c>
      <c r="H3" s="675" t="s">
        <v>7</v>
      </c>
      <c r="I3" s="677" t="s">
        <v>8</v>
      </c>
      <c r="J3" s="678"/>
      <c r="K3" s="679"/>
      <c r="L3" s="675" t="s">
        <v>9</v>
      </c>
      <c r="N3" s="1" t="s">
        <v>238</v>
      </c>
    </row>
    <row r="4" spans="1:15" ht="63">
      <c r="A4" s="676"/>
      <c r="B4" s="676"/>
      <c r="C4" s="676"/>
      <c r="D4" s="676"/>
      <c r="E4" s="676"/>
      <c r="F4" s="676"/>
      <c r="G4" s="676"/>
      <c r="H4" s="676"/>
      <c r="I4" s="537" t="s">
        <v>10</v>
      </c>
      <c r="J4" s="537" t="s">
        <v>11</v>
      </c>
      <c r="K4" s="537" t="s">
        <v>12</v>
      </c>
      <c r="L4" s="676"/>
      <c r="N4" s="86" t="s">
        <v>239</v>
      </c>
      <c r="O4" s="1" t="s">
        <v>240</v>
      </c>
    </row>
    <row r="5" spans="1:15" s="7" customFormat="1" ht="24.75">
      <c r="A5" s="2"/>
      <c r="B5" s="3"/>
      <c r="C5" s="4" t="s">
        <v>13</v>
      </c>
      <c r="D5" s="5"/>
      <c r="E5" s="5"/>
      <c r="F5" s="5"/>
      <c r="G5" s="6"/>
      <c r="H5" s="176">
        <f>H6+H65+H93+H96+H232+H239+H240+H241+H243+H244+H245</f>
        <v>18816200</v>
      </c>
      <c r="I5" s="176">
        <f>I6+I54+I65+I93+I96+I101+I122+I197+I224+I226+I228+I229+I230+I231+I232+I233+I234+I235+I236+I237+I238+I239+I240+I241+I242+I243+I244+I245+I246+I247+I248+I249</f>
        <v>10564600</v>
      </c>
      <c r="J5" s="176">
        <f>J6+J54+J65+J93+J96+J101+J122+J197+J224+J226+J228+J229+J230+J231+J232+J239+J240+J241+J242+J243+J244+J245+J246+J247+J248+J249</f>
        <v>13468000</v>
      </c>
      <c r="K5" s="176">
        <f t="shared" ref="K5:K12" si="0">I5+J5</f>
        <v>24032600</v>
      </c>
      <c r="L5" s="177">
        <f t="shared" ref="L5:L12" si="1">H5+K5</f>
        <v>42848800</v>
      </c>
      <c r="N5" s="186" t="s">
        <v>18</v>
      </c>
    </row>
    <row r="6" spans="1:15" ht="25.5" customHeight="1">
      <c r="A6" s="538">
        <v>1</v>
      </c>
      <c r="B6" s="539" t="s">
        <v>14</v>
      </c>
      <c r="C6" s="540" t="s">
        <v>15</v>
      </c>
      <c r="D6" s="541"/>
      <c r="E6" s="541"/>
      <c r="F6" s="541"/>
      <c r="G6" s="542">
        <f>3083000+160000+648000</f>
        <v>3891000</v>
      </c>
      <c r="H6" s="543">
        <f>H8+H10+H41+H42</f>
        <v>11012900</v>
      </c>
      <c r="I6" s="543">
        <f>I7+I8+I9+I10+I41+I42</f>
        <v>3886500</v>
      </c>
      <c r="J6" s="543">
        <v>0</v>
      </c>
      <c r="K6" s="543">
        <f t="shared" si="0"/>
        <v>3886500</v>
      </c>
      <c r="L6" s="543">
        <f t="shared" si="1"/>
        <v>14899400</v>
      </c>
      <c r="N6" s="1" t="s">
        <v>245</v>
      </c>
      <c r="O6" s="1" t="s">
        <v>246</v>
      </c>
    </row>
    <row r="7" spans="1:15" s="24" customFormat="1" ht="23.25" customHeight="1">
      <c r="A7" s="36"/>
      <c r="B7" s="99" t="s">
        <v>16</v>
      </c>
      <c r="C7" s="544" t="s">
        <v>17</v>
      </c>
      <c r="D7" s="9"/>
      <c r="E7" s="9"/>
      <c r="F7" s="9"/>
      <c r="G7" s="100" t="s">
        <v>18</v>
      </c>
      <c r="H7" s="329">
        <v>0</v>
      </c>
      <c r="I7" s="28">
        <v>942900</v>
      </c>
      <c r="J7" s="28">
        <v>0</v>
      </c>
      <c r="K7" s="28">
        <f t="shared" si="0"/>
        <v>942900</v>
      </c>
      <c r="L7" s="28">
        <f t="shared" si="1"/>
        <v>942900</v>
      </c>
    </row>
    <row r="8" spans="1:15" s="24" customFormat="1" ht="23.25" customHeight="1">
      <c r="A8" s="36"/>
      <c r="B8" s="99" t="s">
        <v>16</v>
      </c>
      <c r="C8" s="544" t="s">
        <v>19</v>
      </c>
      <c r="D8" s="9"/>
      <c r="E8" s="9"/>
      <c r="F8" s="9"/>
      <c r="G8" s="44"/>
      <c r="H8" s="28">
        <v>734900</v>
      </c>
      <c r="I8" s="28">
        <v>593100</v>
      </c>
      <c r="J8" s="28">
        <v>0</v>
      </c>
      <c r="K8" s="28">
        <f t="shared" si="0"/>
        <v>593100</v>
      </c>
      <c r="L8" s="28">
        <f t="shared" si="1"/>
        <v>1328000</v>
      </c>
    </row>
    <row r="9" spans="1:15" s="24" customFormat="1" ht="18.75">
      <c r="A9" s="36"/>
      <c r="B9" s="99" t="s">
        <v>16</v>
      </c>
      <c r="C9" s="544" t="s">
        <v>20</v>
      </c>
      <c r="D9" s="9"/>
      <c r="E9" s="9"/>
      <c r="F9" s="9"/>
      <c r="G9" s="44"/>
      <c r="H9" s="27">
        <v>0</v>
      </c>
      <c r="I9" s="28">
        <v>12000</v>
      </c>
      <c r="J9" s="28">
        <v>0</v>
      </c>
      <c r="K9" s="28">
        <f t="shared" si="0"/>
        <v>12000</v>
      </c>
      <c r="L9" s="28">
        <f t="shared" si="1"/>
        <v>12000</v>
      </c>
    </row>
    <row r="10" spans="1:15" s="24" customFormat="1" ht="18.75">
      <c r="A10" s="36"/>
      <c r="B10" s="99" t="s">
        <v>16</v>
      </c>
      <c r="C10" s="544" t="s">
        <v>21</v>
      </c>
      <c r="D10" s="9"/>
      <c r="E10" s="9"/>
      <c r="F10" s="9"/>
      <c r="G10" s="44"/>
      <c r="H10" s="28">
        <f>SUM(H31:H40)</f>
        <v>7193400</v>
      </c>
      <c r="I10" s="28">
        <f>I11</f>
        <v>1120000</v>
      </c>
      <c r="J10" s="28">
        <v>0</v>
      </c>
      <c r="K10" s="28">
        <f t="shared" si="0"/>
        <v>1120000</v>
      </c>
      <c r="L10" s="28">
        <f t="shared" si="1"/>
        <v>8313400</v>
      </c>
    </row>
    <row r="11" spans="1:15" s="14" customFormat="1" ht="18.75">
      <c r="A11" s="11"/>
      <c r="B11" s="12"/>
      <c r="C11" s="545" t="s">
        <v>270</v>
      </c>
      <c r="D11" s="9"/>
      <c r="E11" s="9"/>
      <c r="F11" s="9"/>
      <c r="G11" s="15"/>
      <c r="H11" s="28">
        <v>0</v>
      </c>
      <c r="I11" s="18">
        <f>SUM(I12:I29)</f>
        <v>1120000</v>
      </c>
      <c r="J11" s="28">
        <v>0</v>
      </c>
      <c r="K11" s="28">
        <f t="shared" si="0"/>
        <v>1120000</v>
      </c>
      <c r="L11" s="28">
        <f t="shared" si="1"/>
        <v>1120000</v>
      </c>
    </row>
    <row r="12" spans="1:15" s="14" customFormat="1" ht="37.5">
      <c r="A12" s="11"/>
      <c r="B12" s="12"/>
      <c r="C12" s="546" t="s">
        <v>271</v>
      </c>
      <c r="D12" s="9"/>
      <c r="E12" s="9"/>
      <c r="F12" s="9"/>
      <c r="G12" s="15"/>
      <c r="H12" s="28">
        <v>0</v>
      </c>
      <c r="I12" s="19">
        <f>60000+10000+50000</f>
        <v>120000</v>
      </c>
      <c r="J12" s="28">
        <v>0</v>
      </c>
      <c r="K12" s="28">
        <f t="shared" si="0"/>
        <v>120000</v>
      </c>
      <c r="L12" s="28">
        <f t="shared" si="1"/>
        <v>120000</v>
      </c>
      <c r="N12" s="547">
        <f>I5-10264610</f>
        <v>299990</v>
      </c>
    </row>
    <row r="13" spans="1:15" s="14" customFormat="1" ht="99">
      <c r="A13" s="11"/>
      <c r="B13" s="12"/>
      <c r="C13" s="548" t="s">
        <v>909</v>
      </c>
      <c r="D13" s="9"/>
      <c r="E13" s="9"/>
      <c r="F13" s="9"/>
      <c r="G13" s="20">
        <f>2*30000</f>
        <v>60000</v>
      </c>
      <c r="H13" s="16"/>
      <c r="I13" s="21" t="s">
        <v>18</v>
      </c>
      <c r="J13" s="13"/>
      <c r="K13" s="13"/>
      <c r="L13" s="13"/>
    </row>
    <row r="14" spans="1:15" s="14" customFormat="1" ht="43.5" customHeight="1">
      <c r="A14" s="11"/>
      <c r="B14" s="12"/>
      <c r="C14" s="549" t="s">
        <v>910</v>
      </c>
      <c r="D14" s="9"/>
      <c r="E14" s="9"/>
      <c r="F14" s="9"/>
      <c r="G14" s="20">
        <f>2*5000</f>
        <v>10000</v>
      </c>
      <c r="H14" s="16"/>
      <c r="I14" s="22" t="s">
        <v>18</v>
      </c>
      <c r="J14" s="13"/>
      <c r="K14" s="13"/>
      <c r="L14" s="13"/>
    </row>
    <row r="15" spans="1:15" s="14" customFormat="1" ht="51.75">
      <c r="A15" s="11"/>
      <c r="B15" s="12"/>
      <c r="C15" s="549" t="s">
        <v>911</v>
      </c>
      <c r="D15" s="9"/>
      <c r="E15" s="9"/>
      <c r="F15" s="9"/>
      <c r="G15" s="20">
        <f>2*25000</f>
        <v>50000</v>
      </c>
      <c r="H15" s="16"/>
      <c r="I15" s="13"/>
      <c r="J15" s="13"/>
      <c r="K15" s="13"/>
      <c r="L15" s="13"/>
    </row>
    <row r="16" spans="1:15" s="50" customFormat="1" ht="56.25">
      <c r="A16" s="29" t="s">
        <v>18</v>
      </c>
      <c r="B16" s="46" t="s">
        <v>22</v>
      </c>
      <c r="C16" s="546" t="s">
        <v>272</v>
      </c>
      <c r="D16" s="17"/>
      <c r="E16" s="17"/>
      <c r="F16" s="17"/>
      <c r="G16" s="17"/>
      <c r="H16" s="10">
        <v>0</v>
      </c>
      <c r="I16" s="10">
        <f>375000+13000+52000</f>
        <v>440000</v>
      </c>
      <c r="J16" s="10">
        <v>0</v>
      </c>
      <c r="K16" s="10">
        <f>I16+J16</f>
        <v>440000</v>
      </c>
      <c r="L16" s="34">
        <f>H16+K16</f>
        <v>440000</v>
      </c>
    </row>
    <row r="17" spans="1:12" s="50" customFormat="1" ht="34.5">
      <c r="A17" s="60"/>
      <c r="B17" s="61"/>
      <c r="C17" s="550" t="s">
        <v>299</v>
      </c>
      <c r="D17" s="91"/>
      <c r="E17" s="91"/>
      <c r="F17" s="91"/>
      <c r="G17" s="20">
        <v>375000</v>
      </c>
      <c r="H17" s="165" t="s">
        <v>18</v>
      </c>
      <c r="I17" s="167"/>
      <c r="J17" s="10" t="s">
        <v>18</v>
      </c>
      <c r="K17" s="10" t="s">
        <v>18</v>
      </c>
      <c r="L17" s="34" t="s">
        <v>18</v>
      </c>
    </row>
    <row r="18" spans="1:12" s="50" customFormat="1" ht="34.5">
      <c r="A18" s="60"/>
      <c r="B18" s="61"/>
      <c r="C18" s="550" t="s">
        <v>912</v>
      </c>
      <c r="D18" s="91"/>
      <c r="E18" s="91"/>
      <c r="F18" s="91"/>
      <c r="G18" s="20">
        <v>13000</v>
      </c>
      <c r="H18" s="91"/>
      <c r="I18" s="167"/>
      <c r="J18" s="10" t="s">
        <v>18</v>
      </c>
      <c r="K18" s="10" t="s">
        <v>18</v>
      </c>
      <c r="L18" s="34" t="s">
        <v>18</v>
      </c>
    </row>
    <row r="19" spans="1:12" s="50" customFormat="1" ht="34.5">
      <c r="A19" s="60"/>
      <c r="B19" s="61"/>
      <c r="C19" s="550" t="s">
        <v>300</v>
      </c>
      <c r="D19" s="91"/>
      <c r="E19" s="91"/>
      <c r="F19" s="91"/>
      <c r="G19" s="20">
        <f>13000*4</f>
        <v>52000</v>
      </c>
      <c r="H19" s="165" t="s">
        <v>18</v>
      </c>
      <c r="I19" s="167"/>
      <c r="J19" s="10" t="s">
        <v>18</v>
      </c>
      <c r="K19" s="10" t="s">
        <v>18</v>
      </c>
      <c r="L19" s="34" t="s">
        <v>18</v>
      </c>
    </row>
    <row r="20" spans="1:12" s="50" customFormat="1" ht="35.25" customHeight="1">
      <c r="A20" s="60"/>
      <c r="B20" s="46" t="s">
        <v>22</v>
      </c>
      <c r="C20" s="546" t="s">
        <v>293</v>
      </c>
      <c r="D20" s="191"/>
      <c r="E20" s="191"/>
      <c r="F20" s="191"/>
      <c r="G20" s="20"/>
      <c r="H20" s="165"/>
      <c r="I20" s="10">
        <f>30000*2</f>
        <v>60000</v>
      </c>
      <c r="J20" s="10">
        <v>0</v>
      </c>
      <c r="K20" s="10">
        <f>I20+J20</f>
        <v>60000</v>
      </c>
      <c r="L20" s="34">
        <f>H20+K20</f>
        <v>60000</v>
      </c>
    </row>
    <row r="21" spans="1:12" s="50" customFormat="1" ht="51.75">
      <c r="A21" s="60"/>
      <c r="B21" s="61"/>
      <c r="C21" s="551" t="s">
        <v>913</v>
      </c>
      <c r="D21" s="91"/>
      <c r="E21" s="91"/>
      <c r="F21" s="91"/>
      <c r="G21" s="20">
        <f>30000*2</f>
        <v>60000</v>
      </c>
      <c r="H21" s="91"/>
      <c r="I21" s="167"/>
      <c r="J21" s="10" t="s">
        <v>18</v>
      </c>
      <c r="K21" s="10" t="s">
        <v>18</v>
      </c>
      <c r="L21" s="34" t="s">
        <v>18</v>
      </c>
    </row>
    <row r="22" spans="1:12" s="50" customFormat="1" ht="36" customHeight="1">
      <c r="A22" s="29" t="s">
        <v>18</v>
      </c>
      <c r="B22" s="30" t="s">
        <v>23</v>
      </c>
      <c r="C22" s="546" t="s">
        <v>294</v>
      </c>
      <c r="D22" s="666" t="s">
        <v>24</v>
      </c>
      <c r="E22" s="666" t="s">
        <v>25</v>
      </c>
      <c r="F22" s="666" t="s">
        <v>26</v>
      </c>
      <c r="G22" s="17"/>
      <c r="H22" s="10">
        <v>0</v>
      </c>
      <c r="I22" s="10">
        <f>135000+105000+50000+55000+65000+90000</f>
        <v>500000</v>
      </c>
      <c r="J22" s="10">
        <v>0</v>
      </c>
      <c r="K22" s="10">
        <f>I22+J22</f>
        <v>500000</v>
      </c>
      <c r="L22" s="34">
        <f>H22+K22</f>
        <v>500000</v>
      </c>
    </row>
    <row r="23" spans="1:12" s="50" customFormat="1" ht="22.5" customHeight="1">
      <c r="A23" s="29"/>
      <c r="B23" s="30"/>
      <c r="C23" s="552" t="s">
        <v>21</v>
      </c>
      <c r="D23" s="680"/>
      <c r="E23" s="680"/>
      <c r="F23" s="680"/>
      <c r="G23" s="20"/>
      <c r="H23" s="38"/>
      <c r="I23" s="10"/>
      <c r="J23" s="10" t="s">
        <v>18</v>
      </c>
      <c r="K23" s="34" t="s">
        <v>18</v>
      </c>
      <c r="L23" s="34" t="s">
        <v>18</v>
      </c>
    </row>
    <row r="24" spans="1:12" s="50" customFormat="1" ht="18" customHeight="1">
      <c r="A24" s="29"/>
      <c r="B24" s="30"/>
      <c r="C24" s="553" t="s">
        <v>224</v>
      </c>
      <c r="D24" s="680"/>
      <c r="E24" s="680"/>
      <c r="F24" s="680"/>
      <c r="G24" s="20">
        <v>135000</v>
      </c>
      <c r="H24" s="38"/>
      <c r="I24" s="10"/>
      <c r="J24" s="10" t="s">
        <v>18</v>
      </c>
      <c r="K24" s="34" t="s">
        <v>18</v>
      </c>
      <c r="L24" s="34" t="s">
        <v>18</v>
      </c>
    </row>
    <row r="25" spans="1:12" s="50" customFormat="1" ht="18" customHeight="1">
      <c r="A25" s="29"/>
      <c r="B25" s="30"/>
      <c r="C25" s="553" t="s">
        <v>223</v>
      </c>
      <c r="D25" s="680"/>
      <c r="E25" s="680"/>
      <c r="F25" s="680"/>
      <c r="G25" s="20">
        <v>105000</v>
      </c>
      <c r="H25" s="38"/>
      <c r="I25" s="10"/>
      <c r="J25" s="10" t="s">
        <v>18</v>
      </c>
      <c r="K25" s="34" t="s">
        <v>18</v>
      </c>
      <c r="L25" s="34" t="s">
        <v>18</v>
      </c>
    </row>
    <row r="26" spans="1:12" s="50" customFormat="1" ht="34.5">
      <c r="A26" s="29"/>
      <c r="B26" s="30"/>
      <c r="C26" s="553" t="s">
        <v>301</v>
      </c>
      <c r="D26" s="680"/>
      <c r="E26" s="680"/>
      <c r="F26" s="680"/>
      <c r="G26" s="20">
        <v>50000</v>
      </c>
      <c r="H26" s="38"/>
      <c r="I26" s="10"/>
      <c r="J26" s="10" t="s">
        <v>18</v>
      </c>
      <c r="K26" s="34" t="s">
        <v>18</v>
      </c>
      <c r="L26" s="34" t="s">
        <v>18</v>
      </c>
    </row>
    <row r="27" spans="1:12" s="50" customFormat="1">
      <c r="A27" s="29"/>
      <c r="B27" s="30"/>
      <c r="C27" s="553" t="s">
        <v>302</v>
      </c>
      <c r="D27" s="680"/>
      <c r="E27" s="680"/>
      <c r="F27" s="680"/>
      <c r="G27" s="20">
        <v>55000</v>
      </c>
      <c r="H27" s="38"/>
      <c r="I27" s="10"/>
      <c r="J27" s="10" t="s">
        <v>18</v>
      </c>
      <c r="K27" s="34" t="s">
        <v>18</v>
      </c>
      <c r="L27" s="34" t="s">
        <v>18</v>
      </c>
    </row>
    <row r="28" spans="1:12" s="50" customFormat="1" ht="34.5">
      <c r="A28" s="29"/>
      <c r="B28" s="30"/>
      <c r="C28" s="553" t="s">
        <v>303</v>
      </c>
      <c r="D28" s="680"/>
      <c r="E28" s="680"/>
      <c r="F28" s="680"/>
      <c r="G28" s="20">
        <v>65000</v>
      </c>
      <c r="H28" s="38"/>
      <c r="I28" s="10"/>
      <c r="J28" s="10" t="s">
        <v>18</v>
      </c>
      <c r="K28" s="34" t="s">
        <v>18</v>
      </c>
      <c r="L28" s="34" t="s">
        <v>18</v>
      </c>
    </row>
    <row r="29" spans="1:12" s="50" customFormat="1" ht="34.5">
      <c r="A29" s="29"/>
      <c r="B29" s="30"/>
      <c r="C29" s="553" t="s">
        <v>304</v>
      </c>
      <c r="D29" s="680"/>
      <c r="E29" s="680"/>
      <c r="F29" s="680"/>
      <c r="G29" s="20">
        <v>90000</v>
      </c>
      <c r="H29" s="38"/>
      <c r="I29" s="10"/>
      <c r="J29" s="10" t="s">
        <v>18</v>
      </c>
      <c r="K29" s="34" t="s">
        <v>18</v>
      </c>
      <c r="L29" s="34" t="s">
        <v>18</v>
      </c>
    </row>
    <row r="30" spans="1:12" s="50" customFormat="1" ht="37.5">
      <c r="A30" s="29"/>
      <c r="B30" s="30" t="s">
        <v>23</v>
      </c>
      <c r="C30" s="546" t="s">
        <v>914</v>
      </c>
      <c r="D30" s="203"/>
      <c r="E30" s="203"/>
      <c r="F30" s="203"/>
      <c r="G30" s="20">
        <f>G31+G39</f>
        <v>6197200</v>
      </c>
      <c r="H30" s="28">
        <f>SUM(H31:H38)</f>
        <v>5201000</v>
      </c>
      <c r="I30" s="10">
        <v>0</v>
      </c>
      <c r="J30" s="10">
        <v>0</v>
      </c>
      <c r="K30" s="10">
        <f>I30+J30</f>
        <v>0</v>
      </c>
      <c r="L30" s="28">
        <f>H30+K30</f>
        <v>5201000</v>
      </c>
    </row>
    <row r="31" spans="1:12" s="50" customFormat="1">
      <c r="A31" s="29"/>
      <c r="B31" s="30"/>
      <c r="C31" s="553" t="s">
        <v>282</v>
      </c>
      <c r="D31" s="554"/>
      <c r="E31" s="203"/>
      <c r="F31" s="203"/>
      <c r="G31" s="20">
        <f>SUM(H31:H37)</f>
        <v>5201000</v>
      </c>
      <c r="H31" s="28">
        <v>590000</v>
      </c>
      <c r="I31" s="10"/>
      <c r="J31" s="10"/>
      <c r="K31" s="34"/>
      <c r="L31" s="34"/>
    </row>
    <row r="32" spans="1:12" s="50" customFormat="1">
      <c r="A32" s="29"/>
      <c r="B32" s="30"/>
      <c r="C32" s="553" t="s">
        <v>283</v>
      </c>
      <c r="D32" s="554"/>
      <c r="E32" s="203"/>
      <c r="F32" s="203"/>
      <c r="G32" s="20"/>
      <c r="H32" s="28">
        <v>301500</v>
      </c>
      <c r="I32" s="10"/>
      <c r="J32" s="10"/>
      <c r="K32" s="34"/>
      <c r="L32" s="34"/>
    </row>
    <row r="33" spans="1:14" s="50" customFormat="1">
      <c r="A33" s="29"/>
      <c r="B33" s="30"/>
      <c r="C33" s="553" t="s">
        <v>284</v>
      </c>
      <c r="D33" s="554"/>
      <c r="E33" s="203"/>
      <c r="F33" s="203"/>
      <c r="G33" s="20"/>
      <c r="H33" s="28">
        <v>535000</v>
      </c>
      <c r="I33" s="10"/>
      <c r="J33" s="10"/>
      <c r="K33" s="34"/>
      <c r="L33" s="34"/>
    </row>
    <row r="34" spans="1:14" s="50" customFormat="1">
      <c r="A34" s="29"/>
      <c r="B34" s="30"/>
      <c r="C34" s="553" t="s">
        <v>285</v>
      </c>
      <c r="D34" s="554"/>
      <c r="E34" s="203"/>
      <c r="F34" s="203"/>
      <c r="G34" s="20"/>
      <c r="H34" s="28">
        <v>330000</v>
      </c>
      <c r="I34" s="10"/>
      <c r="J34" s="10"/>
      <c r="K34" s="34"/>
      <c r="L34" s="34"/>
    </row>
    <row r="35" spans="1:14" s="50" customFormat="1">
      <c r="A35" s="29"/>
      <c r="B35" s="30"/>
      <c r="C35" s="553" t="s">
        <v>286</v>
      </c>
      <c r="D35" s="554"/>
      <c r="E35" s="203"/>
      <c r="F35" s="203"/>
      <c r="G35" s="20"/>
      <c r="H35" s="28">
        <v>1444500</v>
      </c>
      <c r="I35" s="10"/>
      <c r="J35" s="10"/>
      <c r="K35" s="34"/>
      <c r="L35" s="34"/>
    </row>
    <row r="36" spans="1:14" s="50" customFormat="1">
      <c r="A36" s="29"/>
      <c r="B36" s="30"/>
      <c r="C36" s="553" t="s">
        <v>280</v>
      </c>
      <c r="D36" s="555"/>
      <c r="E36" s="203"/>
      <c r="F36" s="203"/>
      <c r="G36" s="20"/>
      <c r="H36" s="28"/>
      <c r="I36" s="10"/>
      <c r="J36" s="10"/>
      <c r="K36" s="34"/>
      <c r="L36" s="34"/>
    </row>
    <row r="37" spans="1:14" s="50" customFormat="1">
      <c r="A37" s="29"/>
      <c r="B37" s="30"/>
      <c r="C37" s="553" t="s">
        <v>287</v>
      </c>
      <c r="D37" s="554"/>
      <c r="E37" s="203"/>
      <c r="F37" s="203"/>
      <c r="G37" s="20"/>
      <c r="H37" s="28">
        <v>2000000</v>
      </c>
      <c r="I37" s="10"/>
      <c r="J37" s="10"/>
      <c r="K37" s="34"/>
      <c r="L37" s="34"/>
    </row>
    <row r="38" spans="1:14" s="50" customFormat="1">
      <c r="A38" s="29"/>
      <c r="B38" s="30"/>
      <c r="C38" s="553" t="s">
        <v>281</v>
      </c>
      <c r="D38" s="555"/>
      <c r="E38" s="203"/>
      <c r="F38" s="203"/>
      <c r="G38" s="20"/>
      <c r="H38" s="28"/>
      <c r="I38" s="10"/>
      <c r="J38" s="10"/>
      <c r="K38" s="34"/>
      <c r="L38" s="34"/>
    </row>
    <row r="39" spans="1:14" s="50" customFormat="1" ht="37.5">
      <c r="A39" s="29"/>
      <c r="B39" s="30" t="s">
        <v>23</v>
      </c>
      <c r="C39" s="546" t="s">
        <v>915</v>
      </c>
      <c r="D39" s="203"/>
      <c r="E39" s="203"/>
      <c r="F39" s="203"/>
      <c r="G39" s="20">
        <f>SUM(H40)</f>
        <v>996200</v>
      </c>
      <c r="H39" s="28">
        <f>H40</f>
        <v>996200</v>
      </c>
      <c r="I39" s="10">
        <v>0</v>
      </c>
      <c r="J39" s="10">
        <v>0</v>
      </c>
      <c r="K39" s="10">
        <f>I39+J39</f>
        <v>0</v>
      </c>
      <c r="L39" s="28">
        <f>H39+K39</f>
        <v>996200</v>
      </c>
    </row>
    <row r="40" spans="1:14" s="50" customFormat="1">
      <c r="A40" s="29"/>
      <c r="B40" s="30"/>
      <c r="C40" s="553" t="s">
        <v>288</v>
      </c>
      <c r="D40" s="554"/>
      <c r="E40" s="203"/>
      <c r="F40" s="203"/>
      <c r="G40" s="20"/>
      <c r="H40" s="28">
        <v>996200</v>
      </c>
      <c r="I40" s="10">
        <v>0</v>
      </c>
      <c r="J40" s="10">
        <v>0</v>
      </c>
      <c r="K40" s="10">
        <f>I40+J40</f>
        <v>0</v>
      </c>
      <c r="L40" s="28">
        <f>H40+K40</f>
        <v>996200</v>
      </c>
    </row>
    <row r="41" spans="1:14" s="45" customFormat="1" ht="18.75">
      <c r="A41" s="36"/>
      <c r="B41" s="99" t="s">
        <v>16</v>
      </c>
      <c r="C41" s="544" t="s">
        <v>27</v>
      </c>
      <c r="D41" s="9"/>
      <c r="E41" s="9"/>
      <c r="F41" s="9"/>
      <c r="G41" s="102"/>
      <c r="H41" s="28">
        <v>0</v>
      </c>
      <c r="I41" s="28">
        <v>33400</v>
      </c>
      <c r="J41" s="10">
        <v>0</v>
      </c>
      <c r="K41" s="28">
        <f>I41+J41</f>
        <v>33400</v>
      </c>
      <c r="L41" s="28">
        <f>H41+K41</f>
        <v>33400</v>
      </c>
    </row>
    <row r="42" spans="1:14" s="45" customFormat="1" ht="18.75">
      <c r="A42" s="36"/>
      <c r="B42" s="99" t="s">
        <v>16</v>
      </c>
      <c r="C42" s="544" t="s">
        <v>28</v>
      </c>
      <c r="D42" s="9"/>
      <c r="E42" s="9"/>
      <c r="F42" s="9"/>
      <c r="G42" s="44"/>
      <c r="H42" s="28">
        <f>H43+H44+H45+H46+H47</f>
        <v>3084600</v>
      </c>
      <c r="I42" s="28">
        <f>I43+I44+I45+I46+I47</f>
        <v>1185100</v>
      </c>
      <c r="J42" s="28">
        <v>0</v>
      </c>
      <c r="K42" s="28">
        <f>I42+J42</f>
        <v>1185100</v>
      </c>
      <c r="L42" s="28">
        <f>H42+K42</f>
        <v>4269700</v>
      </c>
    </row>
    <row r="43" spans="1:14" s="45" customFormat="1" ht="18.75">
      <c r="A43" s="36"/>
      <c r="B43" s="99" t="s">
        <v>16</v>
      </c>
      <c r="C43" s="556" t="s">
        <v>29</v>
      </c>
      <c r="D43" s="9"/>
      <c r="E43" s="9"/>
      <c r="F43" s="9"/>
      <c r="G43" s="102"/>
      <c r="H43" s="28">
        <v>0</v>
      </c>
      <c r="I43" s="28">
        <v>567600</v>
      </c>
      <c r="J43" s="28">
        <v>0</v>
      </c>
      <c r="K43" s="28">
        <f>I43+J43</f>
        <v>567600</v>
      </c>
      <c r="L43" s="28">
        <f>H43+K43</f>
        <v>567600</v>
      </c>
    </row>
    <row r="44" spans="1:14" s="45" customFormat="1" ht="18.75">
      <c r="A44" s="36"/>
      <c r="B44" s="99" t="s">
        <v>16</v>
      </c>
      <c r="C44" s="556" t="s">
        <v>30</v>
      </c>
      <c r="D44" s="9"/>
      <c r="E44" s="9"/>
      <c r="F44" s="9"/>
      <c r="G44" s="102"/>
      <c r="H44" s="28">
        <v>648000</v>
      </c>
      <c r="I44" s="28">
        <v>0</v>
      </c>
      <c r="J44" s="28"/>
      <c r="K44" s="28"/>
      <c r="L44" s="28"/>
    </row>
    <row r="45" spans="1:14" s="45" customFormat="1" ht="18.75">
      <c r="A45" s="36"/>
      <c r="B45" s="99" t="s">
        <v>16</v>
      </c>
      <c r="C45" s="556" t="s">
        <v>31</v>
      </c>
      <c r="D45" s="9"/>
      <c r="E45" s="9"/>
      <c r="F45" s="9"/>
      <c r="G45" s="102"/>
      <c r="H45" s="28">
        <f>(3083000-2900+307700)-H47-H93-H96</f>
        <v>2145800</v>
      </c>
      <c r="I45" s="28">
        <f>218400+111850</f>
        <v>330250</v>
      </c>
      <c r="J45" s="10">
        <v>0</v>
      </c>
      <c r="K45" s="28">
        <f t="shared" ref="K45:K63" si="2">I45+J45</f>
        <v>330250</v>
      </c>
      <c r="L45" s="28">
        <f t="shared" ref="L45:L63" si="3">H45+K45</f>
        <v>2476050</v>
      </c>
    </row>
    <row r="46" spans="1:14" s="166" customFormat="1" ht="18.75">
      <c r="A46" s="36"/>
      <c r="B46" s="99" t="s">
        <v>16</v>
      </c>
      <c r="C46" s="556" t="s">
        <v>32</v>
      </c>
      <c r="D46" s="9"/>
      <c r="E46" s="9"/>
      <c r="F46" s="9"/>
      <c r="G46" s="199" t="s">
        <v>18</v>
      </c>
      <c r="H46" s="28">
        <v>160000</v>
      </c>
      <c r="I46" s="28">
        <f>322860-131600-10000-16200-10</f>
        <v>165050</v>
      </c>
      <c r="J46" s="28">
        <v>0</v>
      </c>
      <c r="K46" s="28">
        <f t="shared" si="2"/>
        <v>165050</v>
      </c>
      <c r="L46" s="28">
        <f t="shared" si="3"/>
        <v>325050</v>
      </c>
      <c r="N46" s="557">
        <f>I46+I47</f>
        <v>287250</v>
      </c>
    </row>
    <row r="47" spans="1:14" s="45" customFormat="1" ht="18.75">
      <c r="A47" s="36"/>
      <c r="B47" s="99" t="s">
        <v>16</v>
      </c>
      <c r="C47" s="556" t="s">
        <v>347</v>
      </c>
      <c r="D47" s="9"/>
      <c r="E47" s="9"/>
      <c r="F47" s="9"/>
      <c r="G47" s="102"/>
      <c r="H47" s="28">
        <f>SUM(H48:H51)</f>
        <v>130800</v>
      </c>
      <c r="I47" s="28">
        <f>SUM(I48:I53)</f>
        <v>122200</v>
      </c>
      <c r="J47" s="28">
        <v>0</v>
      </c>
      <c r="K47" s="28">
        <f t="shared" si="2"/>
        <v>122200</v>
      </c>
      <c r="L47" s="28">
        <f t="shared" si="3"/>
        <v>253000</v>
      </c>
    </row>
    <row r="48" spans="1:14" s="128" customFormat="1" ht="40.5" customHeight="1">
      <c r="A48" s="103" t="s">
        <v>18</v>
      </c>
      <c r="B48" s="104" t="s">
        <v>14</v>
      </c>
      <c r="C48" s="558" t="s">
        <v>278</v>
      </c>
      <c r="D48" s="207" t="s">
        <v>33</v>
      </c>
      <c r="E48" s="207" t="s">
        <v>34</v>
      </c>
      <c r="F48" s="207" t="s">
        <v>35</v>
      </c>
      <c r="G48" s="133"/>
      <c r="H48" s="23">
        <v>60800</v>
      </c>
      <c r="I48" s="106">
        <v>0</v>
      </c>
      <c r="J48" s="23">
        <v>0</v>
      </c>
      <c r="K48" s="23">
        <f t="shared" si="2"/>
        <v>0</v>
      </c>
      <c r="L48" s="23">
        <f t="shared" si="3"/>
        <v>60800</v>
      </c>
    </row>
    <row r="49" spans="1:15" s="128" customFormat="1" ht="36.75" customHeight="1">
      <c r="A49" s="103" t="s">
        <v>18</v>
      </c>
      <c r="B49" s="107" t="s">
        <v>36</v>
      </c>
      <c r="C49" s="558" t="s">
        <v>916</v>
      </c>
      <c r="D49" s="207" t="s">
        <v>37</v>
      </c>
      <c r="E49" s="207" t="s">
        <v>38</v>
      </c>
      <c r="F49" s="207" t="s">
        <v>39</v>
      </c>
      <c r="G49" s="133"/>
      <c r="H49" s="23">
        <v>50000</v>
      </c>
      <c r="I49" s="23">
        <v>0</v>
      </c>
      <c r="J49" s="23">
        <v>0</v>
      </c>
      <c r="K49" s="23">
        <f t="shared" si="2"/>
        <v>0</v>
      </c>
      <c r="L49" s="23">
        <f t="shared" si="3"/>
        <v>50000</v>
      </c>
    </row>
    <row r="50" spans="1:15" s="128" customFormat="1" ht="53.25" customHeight="1">
      <c r="A50" s="103" t="s">
        <v>18</v>
      </c>
      <c r="B50" s="108" t="s">
        <v>14</v>
      </c>
      <c r="C50" s="558" t="s">
        <v>917</v>
      </c>
      <c r="D50" s="207" t="s">
        <v>40</v>
      </c>
      <c r="E50" s="207" t="s">
        <v>41</v>
      </c>
      <c r="F50" s="207" t="s">
        <v>42</v>
      </c>
      <c r="G50" s="114"/>
      <c r="H50" s="110">
        <v>20000</v>
      </c>
      <c r="I50" s="110">
        <v>0</v>
      </c>
      <c r="J50" s="110">
        <v>0</v>
      </c>
      <c r="K50" s="110">
        <f t="shared" si="2"/>
        <v>0</v>
      </c>
      <c r="L50" s="110">
        <f t="shared" si="3"/>
        <v>20000</v>
      </c>
    </row>
    <row r="51" spans="1:15" s="128" customFormat="1" ht="34.5" customHeight="1">
      <c r="A51" s="103" t="s">
        <v>18</v>
      </c>
      <c r="B51" s="108" t="s">
        <v>43</v>
      </c>
      <c r="C51" s="558" t="s">
        <v>918</v>
      </c>
      <c r="D51" s="208"/>
      <c r="E51" s="207" t="s">
        <v>44</v>
      </c>
      <c r="F51" s="207" t="s">
        <v>45</v>
      </c>
      <c r="G51" s="168"/>
      <c r="H51" s="110">
        <v>0</v>
      </c>
      <c r="I51" s="110">
        <v>10000</v>
      </c>
      <c r="J51" s="110">
        <v>0</v>
      </c>
      <c r="K51" s="110">
        <f t="shared" si="2"/>
        <v>10000</v>
      </c>
      <c r="L51" s="110">
        <f t="shared" si="3"/>
        <v>10000</v>
      </c>
    </row>
    <row r="52" spans="1:15" s="128" customFormat="1" ht="18.75" customHeight="1">
      <c r="A52" s="111" t="s">
        <v>18</v>
      </c>
      <c r="B52" s="112" t="s">
        <v>46</v>
      </c>
      <c r="C52" s="558" t="s">
        <v>279</v>
      </c>
      <c r="D52" s="82"/>
      <c r="E52" s="82"/>
      <c r="F52" s="82"/>
      <c r="G52" s="82"/>
      <c r="H52" s="113">
        <v>0</v>
      </c>
      <c r="I52" s="110">
        <v>96000</v>
      </c>
      <c r="J52" s="110">
        <v>0</v>
      </c>
      <c r="K52" s="23">
        <f t="shared" si="2"/>
        <v>96000</v>
      </c>
      <c r="L52" s="23">
        <f t="shared" si="3"/>
        <v>96000</v>
      </c>
    </row>
    <row r="53" spans="1:15" s="128" customFormat="1" ht="18.75" customHeight="1">
      <c r="A53" s="111" t="s">
        <v>18</v>
      </c>
      <c r="B53" s="112" t="s">
        <v>46</v>
      </c>
      <c r="C53" s="558" t="s">
        <v>919</v>
      </c>
      <c r="D53" s="82"/>
      <c r="E53" s="82"/>
      <c r="F53" s="82"/>
      <c r="G53" s="82"/>
      <c r="H53" s="113">
        <v>0</v>
      </c>
      <c r="I53" s="110">
        <v>16200</v>
      </c>
      <c r="J53" s="110">
        <v>0</v>
      </c>
      <c r="K53" s="23">
        <f>I53+J53</f>
        <v>16200</v>
      </c>
      <c r="L53" s="23">
        <f>H53+K53</f>
        <v>16200</v>
      </c>
    </row>
    <row r="54" spans="1:15" s="50" customFormat="1" ht="18.75" customHeight="1">
      <c r="A54" s="538">
        <v>2</v>
      </c>
      <c r="B54" s="539" t="s">
        <v>47</v>
      </c>
      <c r="C54" s="559" t="s">
        <v>48</v>
      </c>
      <c r="D54" s="560"/>
      <c r="E54" s="560"/>
      <c r="F54" s="560"/>
      <c r="G54" s="543">
        <f>65800+65800</f>
        <v>131600</v>
      </c>
      <c r="H54" s="543">
        <f>SUM(H56:H63)</f>
        <v>0</v>
      </c>
      <c r="I54" s="543">
        <f>SUM(I56:I64)</f>
        <v>131600</v>
      </c>
      <c r="J54" s="561">
        <v>0</v>
      </c>
      <c r="K54" s="543">
        <f t="shared" si="2"/>
        <v>131600</v>
      </c>
      <c r="L54" s="543">
        <f t="shared" si="3"/>
        <v>131600</v>
      </c>
      <c r="N54" s="50" t="s">
        <v>266</v>
      </c>
      <c r="O54" s="50" t="s">
        <v>267</v>
      </c>
    </row>
    <row r="55" spans="1:15" s="50" customFormat="1" ht="20.25" customHeight="1">
      <c r="A55" s="8"/>
      <c r="B55" s="562"/>
      <c r="C55" s="563" t="s">
        <v>920</v>
      </c>
      <c r="D55" s="35"/>
      <c r="E55" s="35"/>
      <c r="F55" s="35"/>
      <c r="G55" s="34"/>
      <c r="H55" s="34"/>
      <c r="I55" s="34"/>
      <c r="J55" s="564"/>
      <c r="K55" s="34"/>
      <c r="L55" s="34"/>
    </row>
    <row r="56" spans="1:15" s="128" customFormat="1" ht="18.75" customHeight="1">
      <c r="A56" s="11" t="s">
        <v>18</v>
      </c>
      <c r="B56" s="104" t="s">
        <v>47</v>
      </c>
      <c r="C56" s="565" t="s">
        <v>49</v>
      </c>
      <c r="D56" s="114"/>
      <c r="E56" s="114"/>
      <c r="F56" s="114"/>
      <c r="G56" s="115">
        <f>G54-I54</f>
        <v>0</v>
      </c>
      <c r="H56" s="113">
        <v>0</v>
      </c>
      <c r="I56" s="23">
        <v>25000</v>
      </c>
      <c r="J56" s="115">
        <v>0</v>
      </c>
      <c r="K56" s="13">
        <f t="shared" si="2"/>
        <v>25000</v>
      </c>
      <c r="L56" s="13">
        <f t="shared" si="3"/>
        <v>25000</v>
      </c>
    </row>
    <row r="57" spans="1:15" s="128" customFormat="1" ht="18.75" customHeight="1">
      <c r="A57" s="11" t="s">
        <v>64</v>
      </c>
      <c r="B57" s="104" t="s">
        <v>47</v>
      </c>
      <c r="C57" s="565" t="s">
        <v>50</v>
      </c>
      <c r="D57" s="114"/>
      <c r="E57" s="114"/>
      <c r="F57" s="114"/>
      <c r="G57" s="115"/>
      <c r="H57" s="113">
        <v>0</v>
      </c>
      <c r="I57" s="23">
        <v>20000</v>
      </c>
      <c r="J57" s="115">
        <v>0</v>
      </c>
      <c r="K57" s="13">
        <f t="shared" si="2"/>
        <v>20000</v>
      </c>
      <c r="L57" s="13">
        <f t="shared" si="3"/>
        <v>20000</v>
      </c>
    </row>
    <row r="58" spans="1:15" s="128" customFormat="1" ht="18.75" customHeight="1">
      <c r="A58" s="103" t="s">
        <v>18</v>
      </c>
      <c r="B58" s="108" t="s">
        <v>47</v>
      </c>
      <c r="C58" s="565" t="s">
        <v>273</v>
      </c>
      <c r="D58" s="77"/>
      <c r="E58" s="77"/>
      <c r="F58" s="77"/>
      <c r="G58" s="77"/>
      <c r="H58" s="113">
        <v>0</v>
      </c>
      <c r="I58" s="23">
        <v>10000</v>
      </c>
      <c r="J58" s="113">
        <v>0</v>
      </c>
      <c r="K58" s="23">
        <f t="shared" si="2"/>
        <v>10000</v>
      </c>
      <c r="L58" s="23">
        <f t="shared" si="3"/>
        <v>10000</v>
      </c>
    </row>
    <row r="59" spans="1:15" s="128" customFormat="1" ht="18.75" customHeight="1">
      <c r="A59" s="103" t="s">
        <v>18</v>
      </c>
      <c r="B59" s="108" t="s">
        <v>47</v>
      </c>
      <c r="C59" s="565" t="s">
        <v>51</v>
      </c>
      <c r="D59" s="77"/>
      <c r="E59" s="77"/>
      <c r="F59" s="77"/>
      <c r="G59" s="77"/>
      <c r="H59" s="113">
        <v>0</v>
      </c>
      <c r="I59" s="23">
        <v>20000</v>
      </c>
      <c r="J59" s="113">
        <v>0</v>
      </c>
      <c r="K59" s="23">
        <f t="shared" si="2"/>
        <v>20000</v>
      </c>
      <c r="L59" s="23">
        <f t="shared" si="3"/>
        <v>20000</v>
      </c>
    </row>
    <row r="60" spans="1:15" s="128" customFormat="1" ht="18.75" customHeight="1">
      <c r="A60" s="103" t="s">
        <v>18</v>
      </c>
      <c r="B60" s="108" t="s">
        <v>47</v>
      </c>
      <c r="C60" s="565" t="s">
        <v>52</v>
      </c>
      <c r="D60" s="77"/>
      <c r="E60" s="77"/>
      <c r="F60" s="77"/>
      <c r="G60" s="77"/>
      <c r="H60" s="113">
        <v>0</v>
      </c>
      <c r="I60" s="23">
        <v>6600</v>
      </c>
      <c r="J60" s="113">
        <v>0</v>
      </c>
      <c r="K60" s="23">
        <f t="shared" si="2"/>
        <v>6600</v>
      </c>
      <c r="L60" s="23">
        <f t="shared" si="3"/>
        <v>6600</v>
      </c>
    </row>
    <row r="61" spans="1:15" s="128" customFormat="1" ht="18.75" customHeight="1">
      <c r="A61" s="103" t="s">
        <v>18</v>
      </c>
      <c r="B61" s="108" t="s">
        <v>47</v>
      </c>
      <c r="C61" s="565" t="s">
        <v>53</v>
      </c>
      <c r="D61" s="77"/>
      <c r="E61" s="77"/>
      <c r="F61" s="77"/>
      <c r="G61" s="77"/>
      <c r="H61" s="113">
        <v>0</v>
      </c>
      <c r="I61" s="23">
        <v>15000</v>
      </c>
      <c r="J61" s="113">
        <v>0</v>
      </c>
      <c r="K61" s="23">
        <f t="shared" si="2"/>
        <v>15000</v>
      </c>
      <c r="L61" s="23">
        <f t="shared" si="3"/>
        <v>15000</v>
      </c>
    </row>
    <row r="62" spans="1:15" s="128" customFormat="1" ht="18.75" customHeight="1">
      <c r="A62" s="103" t="s">
        <v>18</v>
      </c>
      <c r="B62" s="108" t="s">
        <v>47</v>
      </c>
      <c r="C62" s="565" t="s">
        <v>54</v>
      </c>
      <c r="D62" s="77"/>
      <c r="E62" s="77"/>
      <c r="F62" s="77"/>
      <c r="G62" s="77"/>
      <c r="H62" s="113">
        <v>0</v>
      </c>
      <c r="I62" s="23">
        <v>20000</v>
      </c>
      <c r="J62" s="113">
        <v>0</v>
      </c>
      <c r="K62" s="23">
        <f t="shared" si="2"/>
        <v>20000</v>
      </c>
      <c r="L62" s="23">
        <f t="shared" si="3"/>
        <v>20000</v>
      </c>
    </row>
    <row r="63" spans="1:15" s="128" customFormat="1" ht="18.75" customHeight="1">
      <c r="A63" s="103" t="s">
        <v>18</v>
      </c>
      <c r="B63" s="108" t="s">
        <v>47</v>
      </c>
      <c r="C63" s="565" t="s">
        <v>55</v>
      </c>
      <c r="D63" s="77"/>
      <c r="E63" s="77"/>
      <c r="F63" s="77"/>
      <c r="G63" s="77"/>
      <c r="H63" s="113">
        <v>0</v>
      </c>
      <c r="I63" s="23">
        <v>10000</v>
      </c>
      <c r="J63" s="113">
        <v>0</v>
      </c>
      <c r="K63" s="23">
        <f t="shared" si="2"/>
        <v>10000</v>
      </c>
      <c r="L63" s="23">
        <f t="shared" si="3"/>
        <v>10000</v>
      </c>
    </row>
    <row r="64" spans="1:15" s="128" customFormat="1" ht="18.75" customHeight="1">
      <c r="A64" s="103" t="s">
        <v>18</v>
      </c>
      <c r="B64" s="108" t="s">
        <v>47</v>
      </c>
      <c r="C64" s="565" t="s">
        <v>56</v>
      </c>
      <c r="D64" s="77"/>
      <c r="E64" s="77"/>
      <c r="F64" s="77"/>
      <c r="G64" s="77"/>
      <c r="H64" s="113">
        <v>0</v>
      </c>
      <c r="I64" s="23">
        <v>5000</v>
      </c>
      <c r="J64" s="113">
        <v>0</v>
      </c>
      <c r="K64" s="23">
        <f>I64+J64</f>
        <v>5000</v>
      </c>
      <c r="L64" s="23">
        <f>H64+K64</f>
        <v>5000</v>
      </c>
    </row>
    <row r="65" spans="1:15" s="50" customFormat="1" ht="18.75" customHeight="1">
      <c r="A65" s="538">
        <v>3</v>
      </c>
      <c r="B65" s="539" t="s">
        <v>57</v>
      </c>
      <c r="C65" s="566" t="s">
        <v>58</v>
      </c>
      <c r="D65" s="567"/>
      <c r="E65" s="567"/>
      <c r="F65" s="567"/>
      <c r="G65" s="568">
        <f>SUM(H67:H92)</f>
        <v>6892600</v>
      </c>
      <c r="H65" s="569">
        <v>4821300</v>
      </c>
      <c r="I65" s="569">
        <v>0</v>
      </c>
      <c r="J65" s="569">
        <v>0</v>
      </c>
      <c r="K65" s="543">
        <f t="shared" ref="K65:K96" si="4">I65+J65</f>
        <v>0</v>
      </c>
      <c r="L65" s="543">
        <f t="shared" ref="L65:L96" si="5">H65+K65</f>
        <v>4821300</v>
      </c>
      <c r="N65" s="50" t="s">
        <v>245</v>
      </c>
      <c r="O65" s="1" t="s">
        <v>246</v>
      </c>
    </row>
    <row r="66" spans="1:15" s="45" customFormat="1" ht="37.5" customHeight="1">
      <c r="A66" s="36"/>
      <c r="B66" s="57" t="s">
        <v>57</v>
      </c>
      <c r="C66" s="570" t="s">
        <v>322</v>
      </c>
      <c r="D66" s="116"/>
      <c r="E66" s="116"/>
      <c r="F66" s="116"/>
      <c r="G66" s="117">
        <f>H65-G65</f>
        <v>-2071300</v>
      </c>
      <c r="H66" s="42">
        <f>H67+H68</f>
        <v>2550000</v>
      </c>
      <c r="I66" s="10">
        <v>0</v>
      </c>
      <c r="J66" s="10">
        <v>0</v>
      </c>
      <c r="K66" s="10">
        <f t="shared" si="4"/>
        <v>0</v>
      </c>
      <c r="L66" s="10">
        <f t="shared" si="5"/>
        <v>2550000</v>
      </c>
    </row>
    <row r="67" spans="1:15" s="45" customFormat="1" ht="18.75" customHeight="1">
      <c r="A67" s="36"/>
      <c r="B67" s="57" t="s">
        <v>57</v>
      </c>
      <c r="C67" s="571" t="s">
        <v>323</v>
      </c>
      <c r="D67" s="118"/>
      <c r="E67" s="118"/>
      <c r="F67" s="118"/>
      <c r="G67" s="118"/>
      <c r="H67" s="42">
        <v>560000</v>
      </c>
      <c r="I67" s="10">
        <v>0</v>
      </c>
      <c r="J67" s="10">
        <v>0</v>
      </c>
      <c r="K67" s="10">
        <f t="shared" si="4"/>
        <v>0</v>
      </c>
      <c r="L67" s="10">
        <f t="shared" si="5"/>
        <v>560000</v>
      </c>
    </row>
    <row r="68" spans="1:15" s="45" customFormat="1" ht="18.75" customHeight="1">
      <c r="A68" s="36"/>
      <c r="B68" s="57" t="s">
        <v>57</v>
      </c>
      <c r="C68" s="571" t="s">
        <v>324</v>
      </c>
      <c r="D68" s="118"/>
      <c r="E68" s="118"/>
      <c r="F68" s="118"/>
      <c r="G68" s="118"/>
      <c r="H68" s="42">
        <v>1990000</v>
      </c>
      <c r="I68" s="10">
        <v>0</v>
      </c>
      <c r="J68" s="10">
        <v>0</v>
      </c>
      <c r="K68" s="10">
        <f t="shared" si="4"/>
        <v>0</v>
      </c>
      <c r="L68" s="10">
        <f t="shared" si="5"/>
        <v>1990000</v>
      </c>
    </row>
    <row r="69" spans="1:15" s="45" customFormat="1" ht="18.75" customHeight="1">
      <c r="A69" s="36"/>
      <c r="B69" s="57" t="s">
        <v>57</v>
      </c>
      <c r="C69" s="570" t="s">
        <v>325</v>
      </c>
      <c r="D69" s="118"/>
      <c r="E69" s="118"/>
      <c r="F69" s="118"/>
      <c r="G69" s="118"/>
      <c r="H69" s="42">
        <v>200000</v>
      </c>
      <c r="I69" s="10"/>
      <c r="J69" s="10"/>
      <c r="K69" s="10">
        <f>I69+J69</f>
        <v>0</v>
      </c>
      <c r="L69" s="10">
        <f>H69+K69</f>
        <v>200000</v>
      </c>
    </row>
    <row r="70" spans="1:15" s="45" customFormat="1" ht="18.75" customHeight="1">
      <c r="A70" s="36"/>
      <c r="B70" s="57" t="s">
        <v>57</v>
      </c>
      <c r="C70" s="570" t="s">
        <v>326</v>
      </c>
      <c r="D70" s="116"/>
      <c r="E70" s="116"/>
      <c r="F70" s="116"/>
      <c r="G70" s="116"/>
      <c r="H70" s="42">
        <f>H71+H72+H73</f>
        <v>569300</v>
      </c>
      <c r="I70" s="10">
        <v>0</v>
      </c>
      <c r="J70" s="10">
        <v>0</v>
      </c>
      <c r="K70" s="10">
        <f t="shared" si="4"/>
        <v>0</v>
      </c>
      <c r="L70" s="10">
        <f t="shared" si="5"/>
        <v>569300</v>
      </c>
    </row>
    <row r="71" spans="1:15" s="45" customFormat="1" ht="18.75" customHeight="1">
      <c r="A71" s="36"/>
      <c r="B71" s="57" t="s">
        <v>57</v>
      </c>
      <c r="C71" s="571" t="s">
        <v>345</v>
      </c>
      <c r="D71" s="118"/>
      <c r="E71" s="118"/>
      <c r="F71" s="118"/>
      <c r="G71" s="118"/>
      <c r="H71" s="42">
        <v>50000</v>
      </c>
      <c r="I71" s="10">
        <v>0</v>
      </c>
      <c r="J71" s="10">
        <v>0</v>
      </c>
      <c r="K71" s="10">
        <f t="shared" si="4"/>
        <v>0</v>
      </c>
      <c r="L71" s="10">
        <f t="shared" si="5"/>
        <v>50000</v>
      </c>
    </row>
    <row r="72" spans="1:15" s="45" customFormat="1" ht="18.75" customHeight="1">
      <c r="A72" s="36"/>
      <c r="B72" s="57" t="s">
        <v>57</v>
      </c>
      <c r="C72" s="571" t="s">
        <v>344</v>
      </c>
      <c r="D72" s="118"/>
      <c r="E72" s="118"/>
      <c r="F72" s="118"/>
      <c r="G72" s="118"/>
      <c r="H72" s="42">
        <v>200000</v>
      </c>
      <c r="I72" s="10">
        <v>0</v>
      </c>
      <c r="J72" s="10">
        <v>0</v>
      </c>
      <c r="K72" s="10">
        <f t="shared" si="4"/>
        <v>0</v>
      </c>
      <c r="L72" s="10">
        <f t="shared" si="5"/>
        <v>200000</v>
      </c>
    </row>
    <row r="73" spans="1:15" s="45" customFormat="1" ht="18.75" customHeight="1">
      <c r="A73" s="36"/>
      <c r="B73" s="57" t="s">
        <v>57</v>
      </c>
      <c r="C73" s="571" t="s">
        <v>346</v>
      </c>
      <c r="D73" s="118"/>
      <c r="E73" s="118"/>
      <c r="F73" s="118"/>
      <c r="G73" s="118"/>
      <c r="H73" s="42">
        <f>70000+349300-100000</f>
        <v>319300</v>
      </c>
      <c r="I73" s="10">
        <v>0</v>
      </c>
      <c r="J73" s="10">
        <v>0</v>
      </c>
      <c r="K73" s="10">
        <f t="shared" si="4"/>
        <v>0</v>
      </c>
      <c r="L73" s="10">
        <f t="shared" si="5"/>
        <v>319300</v>
      </c>
    </row>
    <row r="74" spans="1:15" s="45" customFormat="1" ht="18.75" customHeight="1">
      <c r="A74" s="119"/>
      <c r="B74" s="57" t="s">
        <v>57</v>
      </c>
      <c r="C74" s="572" t="s">
        <v>277</v>
      </c>
      <c r="D74" s="120"/>
      <c r="E74" s="120"/>
      <c r="F74" s="120"/>
      <c r="G74" s="120"/>
      <c r="H74" s="121">
        <f>SUM(H75:H92)</f>
        <v>1502000</v>
      </c>
      <c r="I74" s="10"/>
      <c r="J74" s="10"/>
      <c r="K74" s="10">
        <f t="shared" si="4"/>
        <v>0</v>
      </c>
      <c r="L74" s="10">
        <f t="shared" si="5"/>
        <v>1502000</v>
      </c>
    </row>
    <row r="75" spans="1:15" s="14" customFormat="1" ht="18.75" customHeight="1">
      <c r="A75" s="103" t="s">
        <v>18</v>
      </c>
      <c r="B75" s="108" t="s">
        <v>47</v>
      </c>
      <c r="C75" s="573" t="s">
        <v>327</v>
      </c>
      <c r="D75" s="77"/>
      <c r="E75" s="77"/>
      <c r="F75" s="77"/>
      <c r="G75" s="77"/>
      <c r="H75" s="113">
        <v>0</v>
      </c>
      <c r="I75" s="23">
        <v>0</v>
      </c>
      <c r="J75" s="113">
        <v>0</v>
      </c>
      <c r="K75" s="23">
        <f t="shared" si="4"/>
        <v>0</v>
      </c>
      <c r="L75" s="23">
        <f t="shared" si="5"/>
        <v>0</v>
      </c>
    </row>
    <row r="76" spans="1:15" s="14" customFormat="1" ht="18.75" customHeight="1">
      <c r="A76" s="11" t="s">
        <v>18</v>
      </c>
      <c r="B76" s="57" t="s">
        <v>47</v>
      </c>
      <c r="C76" s="573" t="s">
        <v>328</v>
      </c>
      <c r="D76" s="122"/>
      <c r="E76" s="122"/>
      <c r="F76" s="122"/>
      <c r="G76" s="122"/>
      <c r="H76" s="123">
        <v>100000</v>
      </c>
      <c r="I76" s="23">
        <v>0</v>
      </c>
      <c r="J76" s="23">
        <v>0</v>
      </c>
      <c r="K76" s="23">
        <f t="shared" si="4"/>
        <v>0</v>
      </c>
      <c r="L76" s="23">
        <f t="shared" si="5"/>
        <v>100000</v>
      </c>
    </row>
    <row r="77" spans="1:15" s="14" customFormat="1" ht="18.75" customHeight="1">
      <c r="A77" s="103" t="s">
        <v>18</v>
      </c>
      <c r="B77" s="107" t="s">
        <v>59</v>
      </c>
      <c r="C77" s="573" t="s">
        <v>921</v>
      </c>
      <c r="D77" s="206" t="s">
        <v>60</v>
      </c>
      <c r="E77" s="206" t="s">
        <v>61</v>
      </c>
      <c r="F77" s="206" t="s">
        <v>62</v>
      </c>
      <c r="G77" s="105"/>
      <c r="H77" s="23">
        <v>120000</v>
      </c>
      <c r="I77" s="23">
        <v>0</v>
      </c>
      <c r="J77" s="23">
        <v>0</v>
      </c>
      <c r="K77" s="23">
        <f t="shared" si="4"/>
        <v>0</v>
      </c>
      <c r="L77" s="23">
        <f t="shared" si="5"/>
        <v>120000</v>
      </c>
    </row>
    <row r="78" spans="1:15" s="14" customFormat="1" ht="18.75" customHeight="1">
      <c r="A78" s="11" t="s">
        <v>18</v>
      </c>
      <c r="B78" s="57" t="s">
        <v>14</v>
      </c>
      <c r="C78" s="573" t="s">
        <v>329</v>
      </c>
      <c r="D78" s="124"/>
      <c r="E78" s="124"/>
      <c r="F78" s="124"/>
      <c r="G78" s="124"/>
      <c r="H78" s="39">
        <v>100000</v>
      </c>
      <c r="I78" s="23">
        <v>0</v>
      </c>
      <c r="J78" s="23">
        <v>0</v>
      </c>
      <c r="K78" s="23">
        <f t="shared" si="4"/>
        <v>0</v>
      </c>
      <c r="L78" s="23">
        <f t="shared" si="5"/>
        <v>100000</v>
      </c>
    </row>
    <row r="79" spans="1:15" s="14" customFormat="1" ht="18.75" customHeight="1">
      <c r="A79" s="11" t="s">
        <v>18</v>
      </c>
      <c r="B79" s="57" t="s">
        <v>57</v>
      </c>
      <c r="C79" s="573" t="s">
        <v>330</v>
      </c>
      <c r="D79" s="124"/>
      <c r="E79" s="124"/>
      <c r="F79" s="124"/>
      <c r="G79" s="124"/>
      <c r="H79" s="39">
        <v>50000</v>
      </c>
      <c r="I79" s="23">
        <v>0</v>
      </c>
      <c r="J79" s="23">
        <v>0</v>
      </c>
      <c r="K79" s="23">
        <f t="shared" si="4"/>
        <v>0</v>
      </c>
      <c r="L79" s="23">
        <f t="shared" si="5"/>
        <v>50000</v>
      </c>
    </row>
    <row r="80" spans="1:15" s="14" customFormat="1" ht="18.75" customHeight="1">
      <c r="A80" s="11" t="s">
        <v>18</v>
      </c>
      <c r="B80" s="57" t="s">
        <v>57</v>
      </c>
      <c r="C80" s="573" t="s">
        <v>331</v>
      </c>
      <c r="D80" s="124"/>
      <c r="E80" s="124"/>
      <c r="F80" s="124"/>
      <c r="G80" s="124"/>
      <c r="H80" s="39">
        <v>90000</v>
      </c>
      <c r="I80" s="23">
        <v>0</v>
      </c>
      <c r="J80" s="23">
        <v>0</v>
      </c>
      <c r="K80" s="23">
        <f t="shared" si="4"/>
        <v>0</v>
      </c>
      <c r="L80" s="23">
        <f t="shared" si="5"/>
        <v>90000</v>
      </c>
    </row>
    <row r="81" spans="1:15" s="14" customFormat="1" ht="18.75" customHeight="1">
      <c r="A81" s="11" t="s">
        <v>18</v>
      </c>
      <c r="B81" s="57" t="s">
        <v>63</v>
      </c>
      <c r="C81" s="573" t="s">
        <v>332</v>
      </c>
      <c r="D81" s="124"/>
      <c r="E81" s="124"/>
      <c r="F81" s="124"/>
      <c r="G81" s="124"/>
      <c r="H81" s="39">
        <v>50000</v>
      </c>
      <c r="I81" s="23">
        <v>0</v>
      </c>
      <c r="J81" s="23">
        <v>0</v>
      </c>
      <c r="K81" s="23">
        <f t="shared" si="4"/>
        <v>0</v>
      </c>
      <c r="L81" s="23">
        <f t="shared" si="5"/>
        <v>50000</v>
      </c>
    </row>
    <row r="82" spans="1:15" s="14" customFormat="1" ht="18.75" customHeight="1">
      <c r="A82" s="140" t="s">
        <v>18</v>
      </c>
      <c r="B82" s="57" t="s">
        <v>63</v>
      </c>
      <c r="C82" s="573" t="s">
        <v>333</v>
      </c>
      <c r="D82" s="124"/>
      <c r="E82" s="124"/>
      <c r="F82" s="124"/>
      <c r="G82" s="124"/>
      <c r="H82" s="39">
        <v>30000</v>
      </c>
      <c r="I82" s="23">
        <v>0</v>
      </c>
      <c r="J82" s="23">
        <v>0</v>
      </c>
      <c r="K82" s="23">
        <f t="shared" si="4"/>
        <v>0</v>
      </c>
      <c r="L82" s="23">
        <f t="shared" si="5"/>
        <v>30000</v>
      </c>
    </row>
    <row r="83" spans="1:15" s="14" customFormat="1" ht="18.75" customHeight="1">
      <c r="A83" s="140" t="s">
        <v>18</v>
      </c>
      <c r="B83" s="57" t="s">
        <v>57</v>
      </c>
      <c r="C83" s="573" t="s">
        <v>334</v>
      </c>
      <c r="D83" s="124"/>
      <c r="E83" s="124"/>
      <c r="F83" s="124"/>
      <c r="G83" s="124"/>
      <c r="H83" s="39">
        <v>80000</v>
      </c>
      <c r="I83" s="23">
        <v>0</v>
      </c>
      <c r="J83" s="23">
        <v>0</v>
      </c>
      <c r="K83" s="23">
        <f t="shared" si="4"/>
        <v>0</v>
      </c>
      <c r="L83" s="23">
        <f t="shared" si="5"/>
        <v>80000</v>
      </c>
    </row>
    <row r="84" spans="1:15" s="14" customFormat="1" ht="18.75" customHeight="1">
      <c r="A84" s="125" t="s">
        <v>18</v>
      </c>
      <c r="B84" s="57" t="s">
        <v>57</v>
      </c>
      <c r="C84" s="573" t="s">
        <v>335</v>
      </c>
      <c r="D84" s="124"/>
      <c r="E84" s="124"/>
      <c r="F84" s="124"/>
      <c r="G84" s="124"/>
      <c r="H84" s="39">
        <v>150000</v>
      </c>
      <c r="I84" s="23">
        <v>0</v>
      </c>
      <c r="J84" s="23">
        <v>0</v>
      </c>
      <c r="K84" s="23">
        <f t="shared" si="4"/>
        <v>0</v>
      </c>
      <c r="L84" s="23">
        <f t="shared" si="5"/>
        <v>150000</v>
      </c>
    </row>
    <row r="85" spans="1:15" s="14" customFormat="1" ht="18.75" customHeight="1">
      <c r="A85" s="125" t="s">
        <v>18</v>
      </c>
      <c r="B85" s="57" t="s">
        <v>57</v>
      </c>
      <c r="C85" s="573" t="s">
        <v>336</v>
      </c>
      <c r="D85" s="124"/>
      <c r="E85" s="124"/>
      <c r="F85" s="124"/>
      <c r="G85" s="124"/>
      <c r="H85" s="39">
        <v>100000</v>
      </c>
      <c r="I85" s="23">
        <v>0</v>
      </c>
      <c r="J85" s="23">
        <v>0</v>
      </c>
      <c r="K85" s="23">
        <f t="shared" si="4"/>
        <v>0</v>
      </c>
      <c r="L85" s="23">
        <f t="shared" si="5"/>
        <v>100000</v>
      </c>
    </row>
    <row r="86" spans="1:15" s="14" customFormat="1" ht="18.75" customHeight="1">
      <c r="A86" s="125" t="s">
        <v>18</v>
      </c>
      <c r="B86" s="57" t="s">
        <v>57</v>
      </c>
      <c r="C86" s="574" t="s">
        <v>337</v>
      </c>
      <c r="D86" s="58"/>
      <c r="E86" s="58"/>
      <c r="F86" s="58"/>
      <c r="G86" s="58"/>
      <c r="H86" s="39">
        <v>150000</v>
      </c>
      <c r="I86" s="106">
        <v>0</v>
      </c>
      <c r="J86" s="23">
        <v>0</v>
      </c>
      <c r="K86" s="23">
        <f t="shared" si="4"/>
        <v>0</v>
      </c>
      <c r="L86" s="23">
        <f t="shared" si="5"/>
        <v>150000</v>
      </c>
    </row>
    <row r="87" spans="1:15" s="14" customFormat="1" ht="18.75" customHeight="1">
      <c r="A87" s="125" t="s">
        <v>18</v>
      </c>
      <c r="B87" s="57" t="s">
        <v>57</v>
      </c>
      <c r="C87" s="574" t="s">
        <v>338</v>
      </c>
      <c r="D87" s="58"/>
      <c r="E87" s="58"/>
      <c r="F87" s="58"/>
      <c r="G87" s="58"/>
      <c r="H87" s="39">
        <v>80000</v>
      </c>
      <c r="I87" s="106">
        <v>0</v>
      </c>
      <c r="J87" s="23">
        <v>0</v>
      </c>
      <c r="K87" s="23">
        <f t="shared" si="4"/>
        <v>0</v>
      </c>
      <c r="L87" s="23">
        <f t="shared" si="5"/>
        <v>80000</v>
      </c>
    </row>
    <row r="88" spans="1:15" s="14" customFormat="1" ht="27.75" customHeight="1">
      <c r="A88" s="125" t="s">
        <v>18</v>
      </c>
      <c r="B88" s="57" t="s">
        <v>57</v>
      </c>
      <c r="C88" s="574" t="s">
        <v>339</v>
      </c>
      <c r="D88" s="58"/>
      <c r="E88" s="58"/>
      <c r="F88" s="58"/>
      <c r="G88" s="58"/>
      <c r="H88" s="39">
        <v>5000</v>
      </c>
      <c r="I88" s="106">
        <v>0</v>
      </c>
      <c r="J88" s="23">
        <v>0</v>
      </c>
      <c r="K88" s="23">
        <f t="shared" si="4"/>
        <v>0</v>
      </c>
      <c r="L88" s="23">
        <f t="shared" si="5"/>
        <v>5000</v>
      </c>
    </row>
    <row r="89" spans="1:15" s="14" customFormat="1" ht="31.5" customHeight="1">
      <c r="A89" s="125" t="s">
        <v>18</v>
      </c>
      <c r="B89" s="57" t="s">
        <v>57</v>
      </c>
      <c r="C89" s="574" t="s">
        <v>340</v>
      </c>
      <c r="D89" s="58"/>
      <c r="E89" s="58"/>
      <c r="F89" s="58"/>
      <c r="G89" s="58"/>
      <c r="H89" s="39">
        <v>230000</v>
      </c>
      <c r="I89" s="106">
        <v>0</v>
      </c>
      <c r="J89" s="23">
        <v>0</v>
      </c>
      <c r="K89" s="23">
        <f t="shared" si="4"/>
        <v>0</v>
      </c>
      <c r="L89" s="23">
        <f t="shared" si="5"/>
        <v>230000</v>
      </c>
    </row>
    <row r="90" spans="1:15" s="128" customFormat="1" ht="18.75" customHeight="1">
      <c r="A90" s="125" t="s">
        <v>18</v>
      </c>
      <c r="B90" s="126" t="s">
        <v>65</v>
      </c>
      <c r="C90" s="574" t="s">
        <v>341</v>
      </c>
      <c r="D90" s="206" t="s">
        <v>66</v>
      </c>
      <c r="E90" s="206" t="s">
        <v>67</v>
      </c>
      <c r="F90" s="206" t="s">
        <v>68</v>
      </c>
      <c r="G90" s="15"/>
      <c r="H90" s="127">
        <v>11000</v>
      </c>
      <c r="I90" s="127"/>
      <c r="J90" s="127">
        <v>0</v>
      </c>
      <c r="K90" s="13">
        <f t="shared" si="4"/>
        <v>0</v>
      </c>
      <c r="L90" s="13">
        <f t="shared" si="5"/>
        <v>11000</v>
      </c>
    </row>
    <row r="91" spans="1:15" s="131" customFormat="1" ht="18.75" customHeight="1">
      <c r="A91" s="111" t="s">
        <v>18</v>
      </c>
      <c r="B91" s="129" t="s">
        <v>14</v>
      </c>
      <c r="C91" s="574" t="s">
        <v>342</v>
      </c>
      <c r="D91" s="206" t="s">
        <v>69</v>
      </c>
      <c r="E91" s="206" t="s">
        <v>70</v>
      </c>
      <c r="F91" s="206" t="s">
        <v>71</v>
      </c>
      <c r="G91" s="77"/>
      <c r="H91" s="130">
        <v>100000</v>
      </c>
      <c r="I91" s="130">
        <v>0</v>
      </c>
      <c r="J91" s="130">
        <v>0</v>
      </c>
      <c r="K91" s="23">
        <f t="shared" si="4"/>
        <v>0</v>
      </c>
      <c r="L91" s="23">
        <f t="shared" si="5"/>
        <v>100000</v>
      </c>
    </row>
    <row r="92" spans="1:15" s="128" customFormat="1" ht="18.75" customHeight="1">
      <c r="A92" s="103" t="s">
        <v>18</v>
      </c>
      <c r="B92" s="132" t="s">
        <v>59</v>
      </c>
      <c r="C92" s="574" t="s">
        <v>343</v>
      </c>
      <c r="D92" s="200" t="s">
        <v>72</v>
      </c>
      <c r="E92" s="200" t="s">
        <v>73</v>
      </c>
      <c r="F92" s="200" t="s">
        <v>74</v>
      </c>
      <c r="G92" s="133"/>
      <c r="H92" s="23">
        <v>56000</v>
      </c>
      <c r="I92" s="23"/>
      <c r="J92" s="23">
        <v>0</v>
      </c>
      <c r="K92" s="23">
        <f t="shared" si="4"/>
        <v>0</v>
      </c>
      <c r="L92" s="23">
        <f t="shared" si="5"/>
        <v>56000</v>
      </c>
    </row>
    <row r="93" spans="1:15" ht="18.75" customHeight="1">
      <c r="A93" s="538">
        <v>4</v>
      </c>
      <c r="B93" s="575" t="s">
        <v>16</v>
      </c>
      <c r="C93" s="566" t="s">
        <v>75</v>
      </c>
      <c r="D93" s="670"/>
      <c r="E93" s="670"/>
      <c r="F93" s="670"/>
      <c r="G93" s="567"/>
      <c r="H93" s="576">
        <f>H95</f>
        <v>320000</v>
      </c>
      <c r="I93" s="576">
        <v>0</v>
      </c>
      <c r="J93" s="576">
        <v>0</v>
      </c>
      <c r="K93" s="543">
        <f t="shared" si="4"/>
        <v>0</v>
      </c>
      <c r="L93" s="543">
        <f t="shared" si="5"/>
        <v>320000</v>
      </c>
      <c r="N93" s="1" t="s">
        <v>241</v>
      </c>
      <c r="O93" s="1" t="s">
        <v>265</v>
      </c>
    </row>
    <row r="94" spans="1:15" s="51" customFormat="1" ht="18.75" customHeight="1">
      <c r="A94" s="577"/>
      <c r="B94" s="578"/>
      <c r="C94" s="579" t="s">
        <v>76</v>
      </c>
      <c r="D94" s="671"/>
      <c r="E94" s="671"/>
      <c r="F94" s="671"/>
      <c r="G94" s="580"/>
      <c r="H94" s="581"/>
      <c r="I94" s="581"/>
      <c r="J94" s="581"/>
      <c r="K94" s="543">
        <f t="shared" si="4"/>
        <v>0</v>
      </c>
      <c r="L94" s="543">
        <f t="shared" si="5"/>
        <v>0</v>
      </c>
    </row>
    <row r="95" spans="1:15" ht="42.75" customHeight="1">
      <c r="A95" s="52"/>
      <c r="B95" s="53"/>
      <c r="C95" s="582" t="s">
        <v>922</v>
      </c>
      <c r="D95" s="205"/>
      <c r="E95" s="205"/>
      <c r="F95" s="205"/>
      <c r="G95" s="54"/>
      <c r="H95" s="28">
        <v>320000</v>
      </c>
      <c r="I95" s="56"/>
      <c r="J95" s="56"/>
      <c r="K95" s="34"/>
      <c r="L95" s="34"/>
    </row>
    <row r="96" spans="1:15" ht="18.75" customHeight="1">
      <c r="A96" s="538">
        <v>5</v>
      </c>
      <c r="B96" s="583" t="s">
        <v>16</v>
      </c>
      <c r="C96" s="566" t="s">
        <v>243</v>
      </c>
      <c r="D96" s="672"/>
      <c r="E96" s="672"/>
      <c r="F96" s="672"/>
      <c r="G96" s="584"/>
      <c r="H96" s="576">
        <f>H97+H99</f>
        <v>791200</v>
      </c>
      <c r="I96" s="576">
        <v>0</v>
      </c>
      <c r="J96" s="576">
        <v>0</v>
      </c>
      <c r="K96" s="543">
        <f t="shared" si="4"/>
        <v>0</v>
      </c>
      <c r="L96" s="543">
        <f t="shared" si="5"/>
        <v>791200</v>
      </c>
      <c r="N96" s="1" t="s">
        <v>241</v>
      </c>
      <c r="O96" s="1" t="s">
        <v>242</v>
      </c>
    </row>
    <row r="97" spans="1:15" ht="18.75" customHeight="1">
      <c r="A97" s="8"/>
      <c r="B97" s="40"/>
      <c r="C97" s="582" t="s">
        <v>922</v>
      </c>
      <c r="D97" s="673"/>
      <c r="E97" s="673"/>
      <c r="F97" s="673"/>
      <c r="G97" s="584"/>
      <c r="H97" s="28">
        <f>300*24*12*8</f>
        <v>691200</v>
      </c>
      <c r="I97" s="130">
        <v>0</v>
      </c>
      <c r="J97" s="130">
        <v>0</v>
      </c>
      <c r="K97" s="23">
        <f>I97+J97</f>
        <v>0</v>
      </c>
      <c r="L97" s="23">
        <f>H97+K97</f>
        <v>691200</v>
      </c>
    </row>
    <row r="98" spans="1:15">
      <c r="A98" s="52"/>
      <c r="B98" s="53"/>
      <c r="C98" s="585" t="s">
        <v>923</v>
      </c>
      <c r="D98" s="673"/>
      <c r="E98" s="673"/>
      <c r="F98" s="673"/>
      <c r="G98" s="55">
        <f>300*24*8*12</f>
        <v>691200</v>
      </c>
      <c r="H98" s="56" t="s">
        <v>18</v>
      </c>
      <c r="I98" s="56" t="s">
        <v>18</v>
      </c>
      <c r="J98" s="56"/>
      <c r="K98" s="34" t="s">
        <v>18</v>
      </c>
      <c r="L98" s="34" t="s">
        <v>18</v>
      </c>
    </row>
    <row r="99" spans="1:15" ht="21" customHeight="1">
      <c r="A99" s="52"/>
      <c r="B99" s="53"/>
      <c r="C99" s="582" t="s">
        <v>276</v>
      </c>
      <c r="D99" s="673"/>
      <c r="E99" s="673"/>
      <c r="F99" s="673"/>
      <c r="G99" s="54"/>
      <c r="H99" s="28">
        <v>100000</v>
      </c>
      <c r="I99" s="130">
        <v>0</v>
      </c>
      <c r="J99" s="130">
        <v>0</v>
      </c>
      <c r="K99" s="23">
        <f>I99+J99</f>
        <v>0</v>
      </c>
      <c r="L99" s="23">
        <f>H99+K99</f>
        <v>100000</v>
      </c>
    </row>
    <row r="100" spans="1:15" ht="21" customHeight="1">
      <c r="A100" s="52"/>
      <c r="B100" s="53"/>
      <c r="C100" s="585" t="s">
        <v>77</v>
      </c>
      <c r="D100" s="674"/>
      <c r="E100" s="674"/>
      <c r="F100" s="674"/>
      <c r="G100" s="55">
        <v>100000</v>
      </c>
      <c r="H100" s="56"/>
      <c r="I100" s="56"/>
      <c r="J100" s="56"/>
      <c r="K100" s="34">
        <f t="shared" ref="K100:K163" si="6">I100+J100</f>
        <v>0</v>
      </c>
      <c r="L100" s="34">
        <f t="shared" ref="L100:L163" si="7">H100+K100</f>
        <v>0</v>
      </c>
    </row>
    <row r="101" spans="1:15" ht="21" customHeight="1">
      <c r="A101" s="538">
        <v>6</v>
      </c>
      <c r="B101" s="583" t="s">
        <v>78</v>
      </c>
      <c r="C101" s="566" t="s">
        <v>295</v>
      </c>
      <c r="D101" s="586"/>
      <c r="E101" s="586"/>
      <c r="F101" s="586"/>
      <c r="G101" s="586"/>
      <c r="H101" s="576">
        <f>H102+H103+H104+H116+H115+H117</f>
        <v>0</v>
      </c>
      <c r="I101" s="576">
        <f>I102+I103+I104+I116+I115+I117</f>
        <v>3156500</v>
      </c>
      <c r="J101" s="576">
        <v>0</v>
      </c>
      <c r="K101" s="543">
        <f t="shared" si="6"/>
        <v>3156500</v>
      </c>
      <c r="L101" s="543">
        <f t="shared" si="7"/>
        <v>3156500</v>
      </c>
      <c r="N101" s="1" t="s">
        <v>241</v>
      </c>
      <c r="O101" s="1" t="s">
        <v>242</v>
      </c>
    </row>
    <row r="102" spans="1:15" s="24" customFormat="1" ht="21" customHeight="1">
      <c r="A102" s="36"/>
      <c r="B102" s="40"/>
      <c r="C102" s="587" t="s">
        <v>269</v>
      </c>
      <c r="D102" s="43"/>
      <c r="E102" s="43"/>
      <c r="F102" s="43"/>
      <c r="G102" s="43"/>
      <c r="H102" s="10">
        <v>0</v>
      </c>
      <c r="I102" s="10">
        <v>226200</v>
      </c>
      <c r="J102" s="10"/>
      <c r="K102" s="10">
        <f t="shared" si="6"/>
        <v>226200</v>
      </c>
      <c r="L102" s="10">
        <f t="shared" si="7"/>
        <v>226200</v>
      </c>
      <c r="N102" s="24" t="s">
        <v>289</v>
      </c>
      <c r="O102" s="187">
        <f>I102</f>
        <v>226200</v>
      </c>
    </row>
    <row r="103" spans="1:15" s="24" customFormat="1" ht="21" customHeight="1">
      <c r="A103" s="36"/>
      <c r="B103" s="40"/>
      <c r="C103" s="587" t="s">
        <v>28</v>
      </c>
      <c r="D103" s="43"/>
      <c r="E103" s="43"/>
      <c r="F103" s="43"/>
      <c r="G103" s="43"/>
      <c r="H103" s="10">
        <v>0</v>
      </c>
      <c r="I103" s="10">
        <f>2266100-10000</f>
        <v>2256100</v>
      </c>
      <c r="J103" s="10"/>
      <c r="K103" s="10">
        <f t="shared" si="6"/>
        <v>2256100</v>
      </c>
      <c r="L103" s="10">
        <f t="shared" si="7"/>
        <v>2256100</v>
      </c>
      <c r="N103" s="24" t="s">
        <v>290</v>
      </c>
    </row>
    <row r="104" spans="1:15" s="24" customFormat="1" ht="18.75">
      <c r="A104" s="36"/>
      <c r="B104" s="40"/>
      <c r="C104" s="588" t="s">
        <v>21</v>
      </c>
      <c r="D104" s="43"/>
      <c r="E104" s="43"/>
      <c r="F104" s="43"/>
      <c r="G104" s="102"/>
      <c r="H104" s="10">
        <v>0</v>
      </c>
      <c r="I104" s="10">
        <f>I106+I110+I112</f>
        <v>360000</v>
      </c>
      <c r="J104" s="10"/>
      <c r="K104" s="10">
        <f>I104+J104</f>
        <v>360000</v>
      </c>
      <c r="L104" s="10">
        <f t="shared" si="7"/>
        <v>360000</v>
      </c>
      <c r="N104" s="24" t="s">
        <v>274</v>
      </c>
      <c r="O104" s="24">
        <v>230000</v>
      </c>
    </row>
    <row r="105" spans="1:15" s="24" customFormat="1" ht="18.75">
      <c r="A105" s="36"/>
      <c r="B105" s="40"/>
      <c r="C105" s="556" t="s">
        <v>225</v>
      </c>
      <c r="D105" s="43"/>
      <c r="E105" s="43"/>
      <c r="F105" s="43"/>
      <c r="G105" s="102"/>
      <c r="H105" s="10"/>
      <c r="I105" s="10" t="s">
        <v>18</v>
      </c>
      <c r="J105" s="10"/>
      <c r="K105" s="10"/>
      <c r="L105" s="10"/>
      <c r="N105" s="24" t="s">
        <v>275</v>
      </c>
      <c r="O105" s="189">
        <v>1300000</v>
      </c>
    </row>
    <row r="106" spans="1:15" s="24" customFormat="1" ht="37.5">
      <c r="A106" s="36"/>
      <c r="B106" s="40"/>
      <c r="C106" s="589" t="s">
        <v>296</v>
      </c>
      <c r="D106" s="43"/>
      <c r="E106" s="43"/>
      <c r="F106" s="43"/>
      <c r="G106" s="102"/>
      <c r="H106" s="10">
        <v>0</v>
      </c>
      <c r="I106" s="10">
        <f>80000+40000+50000</f>
        <v>170000</v>
      </c>
      <c r="J106" s="10">
        <v>0</v>
      </c>
      <c r="K106" s="10">
        <f>I106+J106</f>
        <v>170000</v>
      </c>
      <c r="L106" s="10">
        <f>H106+K106</f>
        <v>170000</v>
      </c>
      <c r="O106" s="189"/>
    </row>
    <row r="107" spans="1:15" s="14" customFormat="1" ht="52.5" customHeight="1">
      <c r="A107" s="11"/>
      <c r="B107" s="57"/>
      <c r="C107" s="549" t="s">
        <v>924</v>
      </c>
      <c r="D107" s="58"/>
      <c r="E107" s="58"/>
      <c r="F107" s="58"/>
      <c r="G107" s="20">
        <f>4*20000</f>
        <v>80000</v>
      </c>
      <c r="H107" s="23"/>
      <c r="I107" s="23"/>
      <c r="J107" s="23"/>
      <c r="K107" s="23"/>
      <c r="L107" s="23"/>
      <c r="N107" s="14" t="s">
        <v>291</v>
      </c>
      <c r="O107" s="190">
        <f>I104</f>
        <v>360000</v>
      </c>
    </row>
    <row r="108" spans="1:15" s="14" customFormat="1" ht="18" customHeight="1">
      <c r="A108" s="11"/>
      <c r="B108" s="57"/>
      <c r="C108" s="549" t="s">
        <v>925</v>
      </c>
      <c r="D108" s="58"/>
      <c r="E108" s="58"/>
      <c r="F108" s="58"/>
      <c r="G108" s="20">
        <f>2*20000</f>
        <v>40000</v>
      </c>
      <c r="H108" s="23"/>
      <c r="I108" s="23"/>
      <c r="J108" s="23"/>
      <c r="K108" s="23"/>
      <c r="L108" s="23"/>
      <c r="N108" s="14" t="s">
        <v>292</v>
      </c>
      <c r="O108" s="188">
        <f>I116+I117</f>
        <v>314200</v>
      </c>
    </row>
    <row r="109" spans="1:15" s="14" customFormat="1" ht="34.5">
      <c r="A109" s="11"/>
      <c r="B109" s="57"/>
      <c r="C109" s="549" t="s">
        <v>926</v>
      </c>
      <c r="D109" s="58"/>
      <c r="E109" s="58"/>
      <c r="F109" s="58"/>
      <c r="G109" s="20">
        <f>25000*2</f>
        <v>50000</v>
      </c>
      <c r="H109" s="23"/>
      <c r="I109" s="23"/>
      <c r="J109" s="23"/>
      <c r="K109" s="23"/>
      <c r="L109" s="23"/>
      <c r="O109" s="188">
        <f>SUM(O102:O108)</f>
        <v>2430400</v>
      </c>
    </row>
    <row r="110" spans="1:15" s="24" customFormat="1" ht="20.25" customHeight="1">
      <c r="A110" s="36"/>
      <c r="B110" s="40"/>
      <c r="C110" s="589" t="s">
        <v>297</v>
      </c>
      <c r="D110" s="43"/>
      <c r="E110" s="43"/>
      <c r="F110" s="43"/>
      <c r="G110" s="102"/>
      <c r="H110" s="10">
        <v>0</v>
      </c>
      <c r="I110" s="10">
        <v>30000</v>
      </c>
      <c r="J110" s="10"/>
      <c r="K110" s="10">
        <f>I110+J110</f>
        <v>30000</v>
      </c>
      <c r="L110" s="10">
        <f>H110+K110</f>
        <v>30000</v>
      </c>
      <c r="O110" s="189"/>
    </row>
    <row r="111" spans="1:15" s="24" customFormat="1" ht="20.25" customHeight="1">
      <c r="A111" s="36"/>
      <c r="B111" s="40"/>
      <c r="C111" s="549" t="s">
        <v>927</v>
      </c>
      <c r="D111" s="192"/>
      <c r="E111" s="192"/>
      <c r="F111" s="192"/>
      <c r="G111" s="193"/>
      <c r="H111" s="194"/>
      <c r="I111" s="194"/>
      <c r="J111" s="194"/>
      <c r="K111" s="194"/>
      <c r="L111" s="194"/>
      <c r="O111" s="189"/>
    </row>
    <row r="112" spans="1:15" s="14" customFormat="1" ht="20.25" customHeight="1">
      <c r="A112" s="11"/>
      <c r="B112" s="57"/>
      <c r="C112" s="589" t="s">
        <v>298</v>
      </c>
      <c r="D112" s="58"/>
      <c r="E112" s="58"/>
      <c r="F112" s="58"/>
      <c r="G112" s="20">
        <v>30000</v>
      </c>
      <c r="H112" s="23">
        <v>0</v>
      </c>
      <c r="I112" s="10">
        <f>60000+100000</f>
        <v>160000</v>
      </c>
      <c r="J112" s="23"/>
      <c r="K112" s="10">
        <f>I112+J112</f>
        <v>160000</v>
      </c>
      <c r="L112" s="10">
        <f>H112+K112</f>
        <v>160000</v>
      </c>
      <c r="N112" s="14" t="s">
        <v>276</v>
      </c>
      <c r="O112" s="190">
        <v>726100</v>
      </c>
    </row>
    <row r="113" spans="1:15" s="14" customFormat="1" ht="18.75" hidden="1" customHeight="1">
      <c r="A113" s="11"/>
      <c r="B113" s="57"/>
      <c r="C113" s="549" t="s">
        <v>928</v>
      </c>
      <c r="D113" s="58"/>
      <c r="E113" s="58"/>
      <c r="F113" s="58"/>
      <c r="G113" s="20">
        <f>5*12000</f>
        <v>60000</v>
      </c>
      <c r="H113" s="23"/>
      <c r="I113" s="23"/>
      <c r="J113" s="23"/>
      <c r="K113" s="23"/>
      <c r="L113" s="23"/>
    </row>
    <row r="114" spans="1:15" s="14" customFormat="1" ht="20.25" customHeight="1">
      <c r="A114" s="11"/>
      <c r="B114" s="57"/>
      <c r="C114" s="549" t="s">
        <v>929</v>
      </c>
      <c r="D114" s="58"/>
      <c r="E114" s="58"/>
      <c r="F114" s="58"/>
      <c r="G114" s="20">
        <f>2*50000</f>
        <v>100000</v>
      </c>
      <c r="H114" s="23"/>
      <c r="I114" s="23"/>
      <c r="J114" s="23"/>
      <c r="K114" s="23"/>
      <c r="L114" s="23"/>
    </row>
    <row r="115" spans="1:15" s="24" customFormat="1" ht="21" hidden="1" customHeight="1">
      <c r="A115" s="36"/>
      <c r="B115" s="40"/>
      <c r="C115" s="587" t="s">
        <v>80</v>
      </c>
      <c r="D115" s="43"/>
      <c r="E115" s="43"/>
      <c r="F115" s="43"/>
      <c r="G115" s="43"/>
      <c r="H115" s="10">
        <v>0</v>
      </c>
      <c r="I115" s="10">
        <v>0</v>
      </c>
      <c r="J115" s="10">
        <v>0</v>
      </c>
      <c r="K115" s="10">
        <f>I115+J115</f>
        <v>0</v>
      </c>
      <c r="L115" s="10">
        <f>H115+K115</f>
        <v>0</v>
      </c>
    </row>
    <row r="116" spans="1:15" s="24" customFormat="1" ht="18.75">
      <c r="A116" s="36"/>
      <c r="B116" s="88"/>
      <c r="C116" s="590" t="s">
        <v>930</v>
      </c>
      <c r="D116" s="43"/>
      <c r="E116" s="43"/>
      <c r="F116" s="43"/>
      <c r="G116" s="102"/>
      <c r="H116" s="10">
        <v>0</v>
      </c>
      <c r="I116" s="10">
        <f>150000+5900</f>
        <v>155900</v>
      </c>
      <c r="J116" s="10">
        <v>0</v>
      </c>
      <c r="K116" s="10">
        <f t="shared" si="6"/>
        <v>155900</v>
      </c>
      <c r="L116" s="10">
        <f t="shared" si="7"/>
        <v>155900</v>
      </c>
    </row>
    <row r="117" spans="1:15" s="24" customFormat="1" ht="18.75">
      <c r="A117" s="36"/>
      <c r="B117" s="40"/>
      <c r="C117" s="588" t="s">
        <v>931</v>
      </c>
      <c r="D117" s="591"/>
      <c r="E117" s="591"/>
      <c r="F117" s="591"/>
      <c r="G117" s="43"/>
      <c r="H117" s="10">
        <v>0</v>
      </c>
      <c r="I117" s="10">
        <f>SUM(I118:I121)</f>
        <v>158300</v>
      </c>
      <c r="J117" s="10"/>
      <c r="K117" s="10">
        <f t="shared" si="6"/>
        <v>158300</v>
      </c>
      <c r="L117" s="10">
        <f t="shared" si="7"/>
        <v>158300</v>
      </c>
    </row>
    <row r="118" spans="1:15" s="128" customFormat="1" ht="37.5" customHeight="1">
      <c r="A118" s="111" t="s">
        <v>18</v>
      </c>
      <c r="B118" s="57" t="s">
        <v>78</v>
      </c>
      <c r="C118" s="592" t="s">
        <v>226</v>
      </c>
      <c r="D118" s="202" t="s">
        <v>82</v>
      </c>
      <c r="E118" s="202" t="s">
        <v>83</v>
      </c>
      <c r="F118" s="204" t="s">
        <v>84</v>
      </c>
      <c r="G118" s="77"/>
      <c r="H118" s="134">
        <v>0</v>
      </c>
      <c r="I118" s="134">
        <v>100000</v>
      </c>
      <c r="J118" s="134">
        <v>0</v>
      </c>
      <c r="K118" s="23">
        <f t="shared" si="6"/>
        <v>100000</v>
      </c>
      <c r="L118" s="23">
        <f t="shared" si="7"/>
        <v>100000</v>
      </c>
    </row>
    <row r="119" spans="1:15" s="128" customFormat="1" ht="38.25" customHeight="1">
      <c r="A119" s="111" t="s">
        <v>18</v>
      </c>
      <c r="B119" s="129" t="s">
        <v>14</v>
      </c>
      <c r="C119" s="592" t="s">
        <v>85</v>
      </c>
      <c r="D119" s="201" t="s">
        <v>86</v>
      </c>
      <c r="E119" s="201" t="s">
        <v>87</v>
      </c>
      <c r="F119" s="201" t="s">
        <v>88</v>
      </c>
      <c r="G119" s="77"/>
      <c r="H119" s="134">
        <v>0</v>
      </c>
      <c r="I119" s="134">
        <v>4000</v>
      </c>
      <c r="J119" s="134">
        <v>0</v>
      </c>
      <c r="K119" s="23">
        <f t="shared" si="6"/>
        <v>4000</v>
      </c>
      <c r="L119" s="23">
        <f t="shared" si="7"/>
        <v>4000</v>
      </c>
    </row>
    <row r="120" spans="1:15" s="128" customFormat="1" ht="36.75" customHeight="1">
      <c r="A120" s="111" t="s">
        <v>18</v>
      </c>
      <c r="B120" s="129" t="s">
        <v>14</v>
      </c>
      <c r="C120" s="592" t="s">
        <v>89</v>
      </c>
      <c r="D120" s="201" t="s">
        <v>90</v>
      </c>
      <c r="E120" s="201" t="s">
        <v>91</v>
      </c>
      <c r="F120" s="201" t="s">
        <v>88</v>
      </c>
      <c r="G120" s="77"/>
      <c r="H120" s="134">
        <v>0</v>
      </c>
      <c r="I120" s="134">
        <v>4300</v>
      </c>
      <c r="J120" s="134">
        <v>0</v>
      </c>
      <c r="K120" s="23">
        <f t="shared" si="6"/>
        <v>4300</v>
      </c>
      <c r="L120" s="23">
        <f t="shared" si="7"/>
        <v>4300</v>
      </c>
    </row>
    <row r="121" spans="1:15">
      <c r="A121" s="64" t="s">
        <v>18</v>
      </c>
      <c r="B121" s="65" t="s">
        <v>78</v>
      </c>
      <c r="C121" s="592" t="s">
        <v>92</v>
      </c>
      <c r="D121" s="66"/>
      <c r="E121" s="66"/>
      <c r="F121" s="66"/>
      <c r="G121" s="67"/>
      <c r="H121" s="47">
        <v>0</v>
      </c>
      <c r="I121" s="134">
        <v>50000</v>
      </c>
      <c r="J121" s="134">
        <v>0</v>
      </c>
      <c r="K121" s="23">
        <f t="shared" si="6"/>
        <v>50000</v>
      </c>
      <c r="L121" s="23">
        <f t="shared" si="7"/>
        <v>50000</v>
      </c>
    </row>
    <row r="122" spans="1:15" ht="42">
      <c r="A122" s="538">
        <v>7</v>
      </c>
      <c r="B122" s="593" t="s">
        <v>16</v>
      </c>
      <c r="C122" s="559" t="s">
        <v>268</v>
      </c>
      <c r="D122" s="560"/>
      <c r="E122" s="560"/>
      <c r="F122" s="560"/>
      <c r="G122" s="560"/>
      <c r="H122" s="543">
        <f>H123</f>
        <v>0</v>
      </c>
      <c r="I122" s="543">
        <f>I123</f>
        <v>0</v>
      </c>
      <c r="J122" s="543">
        <f>J123+J130</f>
        <v>5213000</v>
      </c>
      <c r="K122" s="543">
        <f t="shared" si="6"/>
        <v>5213000</v>
      </c>
      <c r="L122" s="543">
        <f t="shared" si="7"/>
        <v>5213000</v>
      </c>
      <c r="N122" s="1" t="s">
        <v>245</v>
      </c>
      <c r="O122" s="1" t="s">
        <v>246</v>
      </c>
    </row>
    <row r="123" spans="1:15" s="24" customFormat="1" ht="18.75">
      <c r="A123" s="69" t="s">
        <v>18</v>
      </c>
      <c r="B123" s="70" t="s">
        <v>93</v>
      </c>
      <c r="C123" s="594" t="s">
        <v>94</v>
      </c>
      <c r="D123" s="25"/>
      <c r="E123" s="25"/>
      <c r="F123" s="25"/>
      <c r="G123" s="25"/>
      <c r="H123" s="10">
        <f>H124+H125+H126+H130</f>
        <v>0</v>
      </c>
      <c r="I123" s="10">
        <f>I124+I125+I126+I130</f>
        <v>0</v>
      </c>
      <c r="J123" s="10">
        <f>J124+J125+J126</f>
        <v>2516000</v>
      </c>
      <c r="K123" s="10">
        <f t="shared" si="6"/>
        <v>2516000</v>
      </c>
      <c r="L123" s="10">
        <f t="shared" si="7"/>
        <v>2516000</v>
      </c>
    </row>
    <row r="124" spans="1:15" s="24" customFormat="1" ht="18.75">
      <c r="A124" s="135"/>
      <c r="B124" s="68"/>
      <c r="C124" s="595" t="s">
        <v>79</v>
      </c>
      <c r="D124" s="136"/>
      <c r="E124" s="136"/>
      <c r="F124" s="136"/>
      <c r="G124" s="136"/>
      <c r="H124" s="10">
        <v>0</v>
      </c>
      <c r="I124" s="10">
        <v>0</v>
      </c>
      <c r="J124" s="28">
        <v>1892600</v>
      </c>
      <c r="K124" s="10">
        <f t="shared" si="6"/>
        <v>1892600</v>
      </c>
      <c r="L124" s="10">
        <f t="shared" si="7"/>
        <v>1892600</v>
      </c>
    </row>
    <row r="125" spans="1:15" s="24" customFormat="1" ht="42" customHeight="1">
      <c r="A125" s="135"/>
      <c r="B125" s="68"/>
      <c r="C125" s="595" t="s">
        <v>19</v>
      </c>
      <c r="D125" s="136"/>
      <c r="E125" s="136"/>
      <c r="F125" s="136"/>
      <c r="G125" s="136"/>
      <c r="H125" s="10">
        <v>0</v>
      </c>
      <c r="I125" s="10">
        <v>0</v>
      </c>
      <c r="J125" s="28">
        <v>0</v>
      </c>
      <c r="K125" s="10">
        <f t="shared" si="6"/>
        <v>0</v>
      </c>
      <c r="L125" s="10">
        <f t="shared" si="7"/>
        <v>0</v>
      </c>
    </row>
    <row r="126" spans="1:15" s="45" customFormat="1" ht="18.75">
      <c r="A126" s="135"/>
      <c r="B126" s="68"/>
      <c r="C126" s="545" t="s">
        <v>28</v>
      </c>
      <c r="D126" s="102"/>
      <c r="E126" s="102"/>
      <c r="F126" s="102"/>
      <c r="G126" s="102"/>
      <c r="H126" s="10">
        <v>0</v>
      </c>
      <c r="I126" s="10">
        <v>0</v>
      </c>
      <c r="J126" s="28">
        <v>623400</v>
      </c>
      <c r="K126" s="10">
        <f t="shared" si="6"/>
        <v>623400</v>
      </c>
      <c r="L126" s="10">
        <f t="shared" si="7"/>
        <v>623400</v>
      </c>
    </row>
    <row r="127" spans="1:15" s="45" customFormat="1" ht="18.75">
      <c r="A127" s="135"/>
      <c r="B127" s="68"/>
      <c r="C127" s="596" t="s">
        <v>322</v>
      </c>
      <c r="D127" s="102"/>
      <c r="E127" s="102"/>
      <c r="F127" s="102"/>
      <c r="G127" s="102"/>
      <c r="H127" s="10">
        <v>0</v>
      </c>
      <c r="I127" s="10">
        <v>0</v>
      </c>
      <c r="J127" s="28">
        <v>470400</v>
      </c>
      <c r="K127" s="10"/>
      <c r="L127" s="10"/>
    </row>
    <row r="128" spans="1:15" s="45" customFormat="1" ht="20.25" customHeight="1">
      <c r="A128" s="135"/>
      <c r="B128" s="68"/>
      <c r="C128" s="596" t="s">
        <v>350</v>
      </c>
      <c r="D128" s="102"/>
      <c r="E128" s="102"/>
      <c r="F128" s="102"/>
      <c r="G128" s="102"/>
      <c r="H128" s="10">
        <v>0</v>
      </c>
      <c r="I128" s="10">
        <v>0</v>
      </c>
      <c r="J128" s="28">
        <v>53000</v>
      </c>
      <c r="K128" s="10"/>
      <c r="L128" s="10"/>
    </row>
    <row r="129" spans="1:12" s="45" customFormat="1" ht="21" customHeight="1">
      <c r="A129" s="135"/>
      <c r="B129" s="68"/>
      <c r="C129" s="596" t="s">
        <v>351</v>
      </c>
      <c r="D129" s="102"/>
      <c r="E129" s="102"/>
      <c r="F129" s="102"/>
      <c r="G129" s="102"/>
      <c r="H129" s="10">
        <v>0</v>
      </c>
      <c r="I129" s="10">
        <v>0</v>
      </c>
      <c r="J129" s="28">
        <v>100000</v>
      </c>
      <c r="K129" s="10"/>
      <c r="L129" s="10"/>
    </row>
    <row r="130" spans="1:12" ht="39" customHeight="1">
      <c r="A130" s="71"/>
      <c r="B130" s="68"/>
      <c r="C130" s="594" t="s">
        <v>95</v>
      </c>
      <c r="D130" s="25"/>
      <c r="E130" s="25"/>
      <c r="F130" s="25"/>
      <c r="G130" s="25"/>
      <c r="H130" s="10">
        <v>0</v>
      </c>
      <c r="I130" s="10">
        <f>I131</f>
        <v>0</v>
      </c>
      <c r="J130" s="10">
        <f>J131</f>
        <v>2697000</v>
      </c>
      <c r="K130" s="34">
        <f t="shared" si="6"/>
        <v>2697000</v>
      </c>
      <c r="L130" s="34">
        <f t="shared" si="7"/>
        <v>2697000</v>
      </c>
    </row>
    <row r="131" spans="1:12" ht="19.5" customHeight="1">
      <c r="A131" s="71"/>
      <c r="B131" s="68"/>
      <c r="C131" s="595" t="s">
        <v>96</v>
      </c>
      <c r="D131" s="25"/>
      <c r="E131" s="25"/>
      <c r="F131" s="25"/>
      <c r="G131" s="25"/>
      <c r="H131" s="10">
        <v>0</v>
      </c>
      <c r="I131" s="10">
        <f>SUM(I132:I162)</f>
        <v>0</v>
      </c>
      <c r="J131" s="10">
        <f>SUM(J132:J196)</f>
        <v>2697000</v>
      </c>
      <c r="K131" s="34">
        <f t="shared" si="6"/>
        <v>2697000</v>
      </c>
      <c r="L131" s="34">
        <f t="shared" si="7"/>
        <v>2697000</v>
      </c>
    </row>
    <row r="132" spans="1:12" s="14" customFormat="1" ht="19.5" customHeight="1">
      <c r="A132" s="137" t="s">
        <v>18</v>
      </c>
      <c r="B132" s="138" t="s">
        <v>97</v>
      </c>
      <c r="C132" s="597" t="s">
        <v>227</v>
      </c>
      <c r="D132" s="139"/>
      <c r="E132" s="139"/>
      <c r="F132" s="139"/>
      <c r="G132" s="139"/>
      <c r="H132" s="106">
        <v>0</v>
      </c>
      <c r="I132" s="106">
        <v>0</v>
      </c>
      <c r="J132" s="106">
        <v>6000</v>
      </c>
      <c r="K132" s="23">
        <f t="shared" si="6"/>
        <v>6000</v>
      </c>
      <c r="L132" s="23">
        <f t="shared" si="7"/>
        <v>6000</v>
      </c>
    </row>
    <row r="133" spans="1:12" s="14" customFormat="1" ht="19.5" customHeight="1">
      <c r="A133" s="140" t="s">
        <v>18</v>
      </c>
      <c r="B133" s="141" t="s">
        <v>97</v>
      </c>
      <c r="C133" s="597" t="s">
        <v>98</v>
      </c>
      <c r="D133" s="139"/>
      <c r="E133" s="139"/>
      <c r="F133" s="139"/>
      <c r="G133" s="139"/>
      <c r="H133" s="130">
        <v>0</v>
      </c>
      <c r="I133" s="142"/>
      <c r="J133" s="130">
        <v>8000</v>
      </c>
      <c r="K133" s="23">
        <f t="shared" si="6"/>
        <v>8000</v>
      </c>
      <c r="L133" s="23">
        <f t="shared" si="7"/>
        <v>8000</v>
      </c>
    </row>
    <row r="134" spans="1:12" s="14" customFormat="1" ht="19.5" customHeight="1">
      <c r="A134" s="140" t="s">
        <v>18</v>
      </c>
      <c r="B134" s="141" t="s">
        <v>97</v>
      </c>
      <c r="C134" s="597" t="s">
        <v>99</v>
      </c>
      <c r="D134" s="143"/>
      <c r="E134" s="143"/>
      <c r="F134" s="143"/>
      <c r="G134" s="143"/>
      <c r="H134" s="130">
        <v>0</v>
      </c>
      <c r="I134" s="130">
        <v>0</v>
      </c>
      <c r="J134" s="130">
        <v>6000</v>
      </c>
      <c r="K134" s="23">
        <f t="shared" si="6"/>
        <v>6000</v>
      </c>
      <c r="L134" s="23">
        <f t="shared" si="7"/>
        <v>6000</v>
      </c>
    </row>
    <row r="135" spans="1:12" s="14" customFormat="1" ht="19.5" customHeight="1">
      <c r="A135" s="140" t="s">
        <v>18</v>
      </c>
      <c r="B135" s="141" t="s">
        <v>100</v>
      </c>
      <c r="C135" s="598" t="s">
        <v>101</v>
      </c>
      <c r="D135" s="144"/>
      <c r="E135" s="144"/>
      <c r="F135" s="144"/>
      <c r="G135" s="145"/>
      <c r="H135" s="130">
        <v>0</v>
      </c>
      <c r="I135" s="130">
        <v>0</v>
      </c>
      <c r="J135" s="130">
        <v>5000</v>
      </c>
      <c r="K135" s="23">
        <f t="shared" si="6"/>
        <v>5000</v>
      </c>
      <c r="L135" s="23">
        <f t="shared" si="7"/>
        <v>5000</v>
      </c>
    </row>
    <row r="136" spans="1:12" s="14" customFormat="1" ht="19.5" customHeight="1">
      <c r="A136" s="140" t="s">
        <v>18</v>
      </c>
      <c r="B136" s="141" t="s">
        <v>46</v>
      </c>
      <c r="C136" s="599" t="s">
        <v>102</v>
      </c>
      <c r="D136" s="76"/>
      <c r="E136" s="76"/>
      <c r="F136" s="76"/>
      <c r="G136" s="76"/>
      <c r="H136" s="130">
        <v>0</v>
      </c>
      <c r="I136" s="130">
        <v>0</v>
      </c>
      <c r="J136" s="23">
        <v>20000</v>
      </c>
      <c r="K136" s="23">
        <f t="shared" si="6"/>
        <v>20000</v>
      </c>
      <c r="L136" s="23">
        <f t="shared" si="7"/>
        <v>20000</v>
      </c>
    </row>
    <row r="137" spans="1:12" s="14" customFormat="1" ht="19.5" customHeight="1">
      <c r="A137" s="146" t="s">
        <v>18</v>
      </c>
      <c r="B137" s="146" t="s">
        <v>46</v>
      </c>
      <c r="C137" s="599" t="s">
        <v>932</v>
      </c>
      <c r="D137" s="109"/>
      <c r="E137" s="109"/>
      <c r="F137" s="109"/>
      <c r="G137" s="109"/>
      <c r="H137" s="110">
        <v>0</v>
      </c>
      <c r="I137" s="110">
        <v>0</v>
      </c>
      <c r="J137" s="110">
        <v>18500</v>
      </c>
      <c r="K137" s="23">
        <f t="shared" si="6"/>
        <v>18500</v>
      </c>
      <c r="L137" s="23">
        <f t="shared" si="7"/>
        <v>18500</v>
      </c>
    </row>
    <row r="138" spans="1:12" s="14" customFormat="1" ht="19.5" customHeight="1">
      <c r="A138" s="140" t="s">
        <v>18</v>
      </c>
      <c r="B138" s="141" t="s">
        <v>100</v>
      </c>
      <c r="C138" s="599" t="s">
        <v>933</v>
      </c>
      <c r="D138" s="147"/>
      <c r="E138" s="147"/>
      <c r="F138" s="147"/>
      <c r="G138" s="147"/>
      <c r="H138" s="130">
        <v>0</v>
      </c>
      <c r="I138" s="130">
        <v>0</v>
      </c>
      <c r="J138" s="130">
        <v>4000</v>
      </c>
      <c r="K138" s="23">
        <f t="shared" si="6"/>
        <v>4000</v>
      </c>
      <c r="L138" s="23">
        <f t="shared" si="7"/>
        <v>4000</v>
      </c>
    </row>
    <row r="139" spans="1:12" s="14" customFormat="1" ht="19.5" customHeight="1">
      <c r="A139" s="111" t="s">
        <v>18</v>
      </c>
      <c r="B139" s="141" t="s">
        <v>46</v>
      </c>
      <c r="C139" s="599" t="s">
        <v>934</v>
      </c>
      <c r="D139" s="76"/>
      <c r="E139" s="76"/>
      <c r="F139" s="76"/>
      <c r="G139" s="76"/>
      <c r="H139" s="130">
        <v>0</v>
      </c>
      <c r="I139" s="130">
        <v>0</v>
      </c>
      <c r="J139" s="130">
        <v>8000</v>
      </c>
      <c r="K139" s="23">
        <f t="shared" si="6"/>
        <v>8000</v>
      </c>
      <c r="L139" s="23">
        <f t="shared" si="7"/>
        <v>8000</v>
      </c>
    </row>
    <row r="140" spans="1:12" s="14" customFormat="1" ht="55.5" customHeight="1">
      <c r="A140" s="111" t="s">
        <v>18</v>
      </c>
      <c r="B140" s="141" t="s">
        <v>46</v>
      </c>
      <c r="C140" s="599" t="s">
        <v>935</v>
      </c>
      <c r="D140" s="77"/>
      <c r="E140" s="77"/>
      <c r="F140" s="77"/>
      <c r="G140" s="77"/>
      <c r="H140" s="130">
        <v>0</v>
      </c>
      <c r="I140" s="130">
        <v>0</v>
      </c>
      <c r="J140" s="23">
        <v>90000</v>
      </c>
      <c r="K140" s="23">
        <f t="shared" si="6"/>
        <v>90000</v>
      </c>
      <c r="L140" s="23">
        <f t="shared" si="7"/>
        <v>90000</v>
      </c>
    </row>
    <row r="141" spans="1:12" s="14" customFormat="1" ht="34.5">
      <c r="A141" s="111" t="s">
        <v>18</v>
      </c>
      <c r="B141" s="141" t="s">
        <v>46</v>
      </c>
      <c r="C141" s="599" t="s">
        <v>936</v>
      </c>
      <c r="D141" s="77"/>
      <c r="E141" s="77"/>
      <c r="F141" s="77"/>
      <c r="G141" s="130"/>
      <c r="H141" s="130">
        <v>0</v>
      </c>
      <c r="I141" s="130">
        <v>0</v>
      </c>
      <c r="J141" s="130">
        <v>1400000</v>
      </c>
      <c r="K141" s="23">
        <f t="shared" si="6"/>
        <v>1400000</v>
      </c>
      <c r="L141" s="23">
        <f t="shared" si="7"/>
        <v>1400000</v>
      </c>
    </row>
    <row r="142" spans="1:12" s="14" customFormat="1" ht="34.5">
      <c r="A142" s="111" t="s">
        <v>18</v>
      </c>
      <c r="B142" s="141" t="s">
        <v>46</v>
      </c>
      <c r="C142" s="599" t="s">
        <v>937</v>
      </c>
      <c r="D142" s="76"/>
      <c r="E142" s="76"/>
      <c r="F142" s="76"/>
      <c r="G142" s="76"/>
      <c r="H142" s="130">
        <v>0</v>
      </c>
      <c r="I142" s="130">
        <v>0</v>
      </c>
      <c r="J142" s="23">
        <v>45000</v>
      </c>
      <c r="K142" s="23">
        <f t="shared" si="6"/>
        <v>45000</v>
      </c>
      <c r="L142" s="23">
        <f t="shared" si="7"/>
        <v>45000</v>
      </c>
    </row>
    <row r="143" spans="1:12" s="14" customFormat="1" ht="34.5">
      <c r="A143" s="111" t="s">
        <v>18</v>
      </c>
      <c r="B143" s="141" t="s">
        <v>46</v>
      </c>
      <c r="C143" s="599" t="s">
        <v>938</v>
      </c>
      <c r="D143" s="76"/>
      <c r="E143" s="76"/>
      <c r="F143" s="76"/>
      <c r="G143" s="76"/>
      <c r="H143" s="130">
        <v>0</v>
      </c>
      <c r="I143" s="130">
        <v>0</v>
      </c>
      <c r="J143" s="130">
        <v>24000</v>
      </c>
      <c r="K143" s="23">
        <f t="shared" si="6"/>
        <v>24000</v>
      </c>
      <c r="L143" s="23">
        <f t="shared" si="7"/>
        <v>24000</v>
      </c>
    </row>
    <row r="144" spans="1:12" s="14" customFormat="1" ht="34.5" hidden="1" customHeight="1">
      <c r="A144" s="111" t="s">
        <v>18</v>
      </c>
      <c r="B144" s="141" t="s">
        <v>97</v>
      </c>
      <c r="C144" s="599" t="s">
        <v>939</v>
      </c>
      <c r="D144" s="76"/>
      <c r="E144" s="76"/>
      <c r="F144" s="76"/>
      <c r="G144" s="76"/>
      <c r="H144" s="130">
        <v>0</v>
      </c>
      <c r="I144" s="130">
        <v>0</v>
      </c>
      <c r="J144" s="130">
        <v>6000</v>
      </c>
      <c r="K144" s="23">
        <f t="shared" si="6"/>
        <v>6000</v>
      </c>
      <c r="L144" s="23">
        <f t="shared" si="7"/>
        <v>6000</v>
      </c>
    </row>
    <row r="145" spans="1:12" s="14" customFormat="1" ht="17.25">
      <c r="A145" s="111" t="s">
        <v>18</v>
      </c>
      <c r="B145" s="141" t="s">
        <v>46</v>
      </c>
      <c r="C145" s="599" t="s">
        <v>940</v>
      </c>
      <c r="D145" s="76"/>
      <c r="E145" s="76"/>
      <c r="F145" s="76"/>
      <c r="G145" s="76"/>
      <c r="H145" s="130">
        <v>0</v>
      </c>
      <c r="I145" s="130">
        <v>0</v>
      </c>
      <c r="J145" s="130">
        <v>3000</v>
      </c>
      <c r="K145" s="23">
        <f t="shared" si="6"/>
        <v>3000</v>
      </c>
      <c r="L145" s="23">
        <f t="shared" si="7"/>
        <v>3000</v>
      </c>
    </row>
    <row r="146" spans="1:12" s="14" customFormat="1" ht="34.5">
      <c r="A146" s="111" t="s">
        <v>18</v>
      </c>
      <c r="B146" s="141" t="s">
        <v>46</v>
      </c>
      <c r="C146" s="600" t="s">
        <v>941</v>
      </c>
      <c r="D146" s="77"/>
      <c r="E146" s="77"/>
      <c r="F146" s="77"/>
      <c r="G146" s="77"/>
      <c r="H146" s="130">
        <v>0</v>
      </c>
      <c r="I146" s="130">
        <v>0</v>
      </c>
      <c r="J146" s="130">
        <v>145400</v>
      </c>
      <c r="K146" s="23">
        <f t="shared" si="6"/>
        <v>145400</v>
      </c>
      <c r="L146" s="23">
        <f t="shared" si="7"/>
        <v>145400</v>
      </c>
    </row>
    <row r="147" spans="1:12" s="14" customFormat="1" ht="17.25">
      <c r="A147" s="111" t="s">
        <v>18</v>
      </c>
      <c r="B147" s="141" t="s">
        <v>46</v>
      </c>
      <c r="C147" s="599" t="s">
        <v>942</v>
      </c>
      <c r="D147" s="76"/>
      <c r="E147" s="76"/>
      <c r="F147" s="76"/>
      <c r="G147" s="76"/>
      <c r="H147" s="130">
        <v>0</v>
      </c>
      <c r="I147" s="130">
        <v>0</v>
      </c>
      <c r="J147" s="130">
        <v>25000</v>
      </c>
      <c r="K147" s="23">
        <f t="shared" si="6"/>
        <v>25000</v>
      </c>
      <c r="L147" s="23">
        <f t="shared" si="7"/>
        <v>25000</v>
      </c>
    </row>
    <row r="148" spans="1:12" s="14" customFormat="1" ht="34.5">
      <c r="A148" s="111" t="s">
        <v>18</v>
      </c>
      <c r="B148" s="141" t="s">
        <v>104</v>
      </c>
      <c r="C148" s="599" t="s">
        <v>943</v>
      </c>
      <c r="D148" s="76"/>
      <c r="E148" s="76"/>
      <c r="F148" s="76"/>
      <c r="G148" s="76"/>
      <c r="H148" s="130">
        <v>0</v>
      </c>
      <c r="I148" s="130">
        <v>0</v>
      </c>
      <c r="J148" s="130">
        <v>25000</v>
      </c>
      <c r="K148" s="23">
        <f t="shared" si="6"/>
        <v>25000</v>
      </c>
      <c r="L148" s="23">
        <f t="shared" si="7"/>
        <v>25000</v>
      </c>
    </row>
    <row r="149" spans="1:12" s="14" customFormat="1" ht="17.25">
      <c r="A149" s="111" t="s">
        <v>18</v>
      </c>
      <c r="B149" s="141" t="s">
        <v>97</v>
      </c>
      <c r="C149" s="600" t="s">
        <v>944</v>
      </c>
      <c r="D149" s="77"/>
      <c r="E149" s="77"/>
      <c r="F149" s="77"/>
      <c r="G149" s="77"/>
      <c r="H149" s="130">
        <v>0</v>
      </c>
      <c r="I149" s="130">
        <v>0</v>
      </c>
      <c r="J149" s="130">
        <v>45000</v>
      </c>
      <c r="K149" s="23">
        <f t="shared" si="6"/>
        <v>45000</v>
      </c>
      <c r="L149" s="23">
        <f t="shared" si="7"/>
        <v>45000</v>
      </c>
    </row>
    <row r="150" spans="1:12" s="14" customFormat="1" ht="17.25">
      <c r="A150" s="111" t="s">
        <v>18</v>
      </c>
      <c r="B150" s="141" t="s">
        <v>46</v>
      </c>
      <c r="C150" s="600" t="s">
        <v>945</v>
      </c>
      <c r="D150" s="77"/>
      <c r="E150" s="77"/>
      <c r="F150" s="77"/>
      <c r="G150" s="77"/>
      <c r="H150" s="130">
        <v>0</v>
      </c>
      <c r="I150" s="130">
        <v>0</v>
      </c>
      <c r="J150" s="23">
        <f>(7500*3)</f>
        <v>22500</v>
      </c>
      <c r="K150" s="23">
        <f t="shared" si="6"/>
        <v>22500</v>
      </c>
      <c r="L150" s="23">
        <f t="shared" si="7"/>
        <v>22500</v>
      </c>
    </row>
    <row r="151" spans="1:12" s="14" customFormat="1" ht="34.5">
      <c r="A151" s="148" t="s">
        <v>18</v>
      </c>
      <c r="B151" s="129" t="s">
        <v>36</v>
      </c>
      <c r="C151" s="599" t="s">
        <v>946</v>
      </c>
      <c r="D151" s="76"/>
      <c r="E151" s="76"/>
      <c r="F151" s="76"/>
      <c r="G151" s="76"/>
      <c r="H151" s="130">
        <v>0</v>
      </c>
      <c r="I151" s="130">
        <v>0</v>
      </c>
      <c r="J151" s="130">
        <v>12000</v>
      </c>
      <c r="K151" s="23">
        <f t="shared" si="6"/>
        <v>12000</v>
      </c>
      <c r="L151" s="23">
        <f t="shared" si="7"/>
        <v>12000</v>
      </c>
    </row>
    <row r="152" spans="1:12" s="14" customFormat="1" ht="34.5">
      <c r="A152" s="148" t="s">
        <v>18</v>
      </c>
      <c r="B152" s="129" t="s">
        <v>36</v>
      </c>
      <c r="C152" s="599" t="s">
        <v>947</v>
      </c>
      <c r="D152" s="76"/>
      <c r="E152" s="76"/>
      <c r="F152" s="76"/>
      <c r="G152" s="76"/>
      <c r="H152" s="130">
        <v>0</v>
      </c>
      <c r="I152" s="130">
        <v>0</v>
      </c>
      <c r="J152" s="130">
        <v>8000</v>
      </c>
      <c r="K152" s="23">
        <f t="shared" si="6"/>
        <v>8000</v>
      </c>
      <c r="L152" s="23">
        <f t="shared" si="7"/>
        <v>8000</v>
      </c>
    </row>
    <row r="153" spans="1:12" s="14" customFormat="1" ht="34.5">
      <c r="A153" s="148" t="s">
        <v>18</v>
      </c>
      <c r="B153" s="129" t="s">
        <v>36</v>
      </c>
      <c r="C153" s="599" t="s">
        <v>948</v>
      </c>
      <c r="D153" s="76"/>
      <c r="E153" s="76"/>
      <c r="F153" s="76"/>
      <c r="G153" s="76"/>
      <c r="H153" s="130">
        <v>0</v>
      </c>
      <c r="I153" s="130">
        <v>0</v>
      </c>
      <c r="J153" s="130">
        <v>6000</v>
      </c>
      <c r="K153" s="23">
        <f t="shared" si="6"/>
        <v>6000</v>
      </c>
      <c r="L153" s="23">
        <f t="shared" si="7"/>
        <v>6000</v>
      </c>
    </row>
    <row r="154" spans="1:12" s="14" customFormat="1" ht="34.5" customHeight="1">
      <c r="A154" s="111" t="s">
        <v>18</v>
      </c>
      <c r="B154" s="112" t="s">
        <v>65</v>
      </c>
      <c r="C154" s="599" t="s">
        <v>949</v>
      </c>
      <c r="D154" s="76"/>
      <c r="E154" s="76"/>
      <c r="F154" s="76"/>
      <c r="G154" s="76"/>
      <c r="H154" s="130">
        <v>0</v>
      </c>
      <c r="I154" s="130">
        <v>0</v>
      </c>
      <c r="J154" s="130">
        <v>9000</v>
      </c>
      <c r="K154" s="23">
        <f t="shared" si="6"/>
        <v>9000</v>
      </c>
      <c r="L154" s="23">
        <f t="shared" si="7"/>
        <v>9000</v>
      </c>
    </row>
    <row r="155" spans="1:12" s="14" customFormat="1" ht="15.75" hidden="1" customHeight="1">
      <c r="A155" s="111" t="s">
        <v>18</v>
      </c>
      <c r="B155" s="129" t="s">
        <v>59</v>
      </c>
      <c r="C155" s="599" t="s">
        <v>950</v>
      </c>
      <c r="D155" s="76"/>
      <c r="E155" s="76"/>
      <c r="F155" s="76"/>
      <c r="G155" s="76"/>
      <c r="H155" s="130">
        <v>0</v>
      </c>
      <c r="I155" s="130">
        <v>0</v>
      </c>
      <c r="J155" s="130">
        <v>12000</v>
      </c>
      <c r="K155" s="23">
        <f t="shared" si="6"/>
        <v>12000</v>
      </c>
      <c r="L155" s="23">
        <f t="shared" si="7"/>
        <v>12000</v>
      </c>
    </row>
    <row r="156" spans="1:12" s="14" customFormat="1" ht="15.75" hidden="1" customHeight="1">
      <c r="A156" s="111" t="s">
        <v>18</v>
      </c>
      <c r="B156" s="112" t="s">
        <v>63</v>
      </c>
      <c r="C156" s="600" t="s">
        <v>951</v>
      </c>
      <c r="D156" s="78"/>
      <c r="E156" s="78"/>
      <c r="F156" s="78"/>
      <c r="G156" s="109"/>
      <c r="H156" s="23">
        <v>0</v>
      </c>
      <c r="I156" s="23">
        <v>0</v>
      </c>
      <c r="J156" s="23">
        <v>12000</v>
      </c>
      <c r="K156" s="23">
        <f>I156+J156</f>
        <v>12000</v>
      </c>
      <c r="L156" s="23">
        <f>H156+K156</f>
        <v>12000</v>
      </c>
    </row>
    <row r="157" spans="1:12" s="14" customFormat="1" ht="15.75" hidden="1" customHeight="1">
      <c r="A157" s="149" t="s">
        <v>18</v>
      </c>
      <c r="B157" s="109" t="s">
        <v>47</v>
      </c>
      <c r="C157" s="600" t="s">
        <v>952</v>
      </c>
      <c r="D157" s="150"/>
      <c r="E157" s="150">
        <v>80000</v>
      </c>
      <c r="F157" s="150"/>
      <c r="G157" s="150"/>
      <c r="H157" s="150"/>
      <c r="I157" s="150"/>
      <c r="J157" s="23">
        <v>5000</v>
      </c>
      <c r="K157" s="23">
        <f>I157+J157</f>
        <v>5000</v>
      </c>
      <c r="L157" s="23">
        <f>H157+K157</f>
        <v>5000</v>
      </c>
    </row>
    <row r="158" spans="1:12" s="153" customFormat="1" ht="15.75" hidden="1" customHeight="1">
      <c r="A158" s="151" t="s">
        <v>64</v>
      </c>
      <c r="B158" s="198" t="s">
        <v>14</v>
      </c>
      <c r="C158" s="601" t="s">
        <v>953</v>
      </c>
      <c r="D158" s="155" t="s">
        <v>106</v>
      </c>
      <c r="E158" s="155" t="s">
        <v>107</v>
      </c>
      <c r="F158" s="155" t="s">
        <v>108</v>
      </c>
      <c r="G158" s="154"/>
      <c r="H158" s="152">
        <v>0</v>
      </c>
      <c r="I158" s="152">
        <v>0</v>
      </c>
      <c r="J158" s="152">
        <v>15450</v>
      </c>
      <c r="K158" s="152">
        <f t="shared" si="6"/>
        <v>15450</v>
      </c>
      <c r="L158" s="152">
        <f t="shared" si="7"/>
        <v>15450</v>
      </c>
    </row>
    <row r="159" spans="1:12" s="128" customFormat="1" ht="15.75" hidden="1" customHeight="1">
      <c r="A159" s="111" t="s">
        <v>18</v>
      </c>
      <c r="B159" s="129" t="s">
        <v>14</v>
      </c>
      <c r="C159" s="599" t="s">
        <v>954</v>
      </c>
      <c r="D159" s="200" t="s">
        <v>109</v>
      </c>
      <c r="E159" s="200" t="s">
        <v>110</v>
      </c>
      <c r="F159" s="200" t="s">
        <v>111</v>
      </c>
      <c r="G159" s="156"/>
      <c r="H159" s="134">
        <v>0</v>
      </c>
      <c r="I159" s="134">
        <v>0</v>
      </c>
      <c r="J159" s="134">
        <v>8950</v>
      </c>
      <c r="K159" s="23">
        <f t="shared" si="6"/>
        <v>8950</v>
      </c>
      <c r="L159" s="23">
        <f t="shared" si="7"/>
        <v>8950</v>
      </c>
    </row>
    <row r="160" spans="1:12" s="14" customFormat="1" ht="17.25" customHeight="1">
      <c r="A160" s="111" t="s">
        <v>18</v>
      </c>
      <c r="B160" s="129" t="s">
        <v>14</v>
      </c>
      <c r="C160" s="599" t="s">
        <v>955</v>
      </c>
      <c r="D160" s="201" t="s">
        <v>112</v>
      </c>
      <c r="E160" s="201" t="s">
        <v>113</v>
      </c>
      <c r="F160" s="201" t="s">
        <v>114</v>
      </c>
      <c r="G160" s="157"/>
      <c r="H160" s="158">
        <v>0</v>
      </c>
      <c r="I160" s="158">
        <v>0</v>
      </c>
      <c r="J160" s="158">
        <v>0</v>
      </c>
      <c r="K160" s="23">
        <f t="shared" si="6"/>
        <v>0</v>
      </c>
      <c r="L160" s="23">
        <f t="shared" si="7"/>
        <v>0</v>
      </c>
    </row>
    <row r="161" spans="1:12" s="14" customFormat="1" ht="18.75" hidden="1" customHeight="1">
      <c r="A161" s="111" t="s">
        <v>18</v>
      </c>
      <c r="B161" s="129" t="s">
        <v>14</v>
      </c>
      <c r="C161" s="599" t="s">
        <v>956</v>
      </c>
      <c r="D161" s="201" t="s">
        <v>115</v>
      </c>
      <c r="E161" s="201" t="s">
        <v>116</v>
      </c>
      <c r="F161" s="201" t="s">
        <v>117</v>
      </c>
      <c r="G161" s="157"/>
      <c r="H161" s="158">
        <v>0</v>
      </c>
      <c r="I161" s="158">
        <v>0</v>
      </c>
      <c r="J161" s="158">
        <v>0</v>
      </c>
      <c r="K161" s="23">
        <f t="shared" si="6"/>
        <v>0</v>
      </c>
      <c r="L161" s="23">
        <f t="shared" si="7"/>
        <v>0</v>
      </c>
    </row>
    <row r="162" spans="1:12" s="14" customFormat="1" ht="18.75" hidden="1" customHeight="1">
      <c r="A162" s="111" t="s">
        <v>18</v>
      </c>
      <c r="B162" s="129" t="s">
        <v>14</v>
      </c>
      <c r="C162" s="599" t="s">
        <v>957</v>
      </c>
      <c r="D162" s="201" t="s">
        <v>118</v>
      </c>
      <c r="E162" s="202" t="s">
        <v>119</v>
      </c>
      <c r="F162" s="202" t="s">
        <v>120</v>
      </c>
      <c r="G162" s="157"/>
      <c r="H162" s="158">
        <v>0</v>
      </c>
      <c r="I162" s="158">
        <v>0</v>
      </c>
      <c r="J162" s="158">
        <v>0</v>
      </c>
      <c r="K162" s="23">
        <f t="shared" si="6"/>
        <v>0</v>
      </c>
      <c r="L162" s="23">
        <f t="shared" si="7"/>
        <v>0</v>
      </c>
    </row>
    <row r="163" spans="1:12" ht="18.75" hidden="1" customHeight="1">
      <c r="A163" s="63" t="s">
        <v>18</v>
      </c>
      <c r="B163" s="30" t="s">
        <v>23</v>
      </c>
      <c r="C163" s="599" t="s">
        <v>958</v>
      </c>
      <c r="D163" s="201" t="s">
        <v>121</v>
      </c>
      <c r="E163" s="201" t="s">
        <v>122</v>
      </c>
      <c r="F163" s="201" t="s">
        <v>123</v>
      </c>
      <c r="G163" s="82" t="s">
        <v>18</v>
      </c>
      <c r="H163" s="33">
        <v>0</v>
      </c>
      <c r="I163" s="33">
        <v>0</v>
      </c>
      <c r="J163" s="33">
        <v>6000</v>
      </c>
      <c r="K163" s="34">
        <f t="shared" si="6"/>
        <v>6000</v>
      </c>
      <c r="L163" s="34">
        <f t="shared" si="7"/>
        <v>6000</v>
      </c>
    </row>
    <row r="164" spans="1:12" s="14" customFormat="1" ht="18.75" hidden="1" customHeight="1">
      <c r="A164" s="111" t="s">
        <v>18</v>
      </c>
      <c r="B164" s="129" t="s">
        <v>124</v>
      </c>
      <c r="C164" s="599" t="s">
        <v>228</v>
      </c>
      <c r="D164" s="89" t="s">
        <v>125</v>
      </c>
      <c r="E164" s="89" t="s">
        <v>126</v>
      </c>
      <c r="F164" s="89" t="s">
        <v>127</v>
      </c>
      <c r="G164" s="82"/>
      <c r="H164" s="23">
        <v>0</v>
      </c>
      <c r="I164" s="23">
        <v>0</v>
      </c>
      <c r="J164" s="23">
        <f>SUM(G165:G165)</f>
        <v>9000</v>
      </c>
      <c r="K164" s="23">
        <f t="shared" ref="K164:K227" si="8">I164+J164</f>
        <v>9000</v>
      </c>
      <c r="L164" s="23">
        <f t="shared" ref="L164:L227" si="9">H164+K164</f>
        <v>9000</v>
      </c>
    </row>
    <row r="165" spans="1:12" s="51" customFormat="1" ht="18.75" hidden="1" customHeight="1">
      <c r="A165" s="63"/>
      <c r="B165" s="75"/>
      <c r="C165" s="602" t="s">
        <v>128</v>
      </c>
      <c r="D165" s="83"/>
      <c r="E165" s="83"/>
      <c r="F165" s="83"/>
      <c r="G165" s="73">
        <f>50*10*3*6</f>
        <v>9000</v>
      </c>
      <c r="H165" s="32"/>
      <c r="I165" s="32"/>
      <c r="J165" s="33"/>
      <c r="K165" s="33">
        <f t="shared" si="8"/>
        <v>0</v>
      </c>
      <c r="L165" s="33">
        <f t="shared" si="9"/>
        <v>0</v>
      </c>
    </row>
    <row r="166" spans="1:12" s="14" customFormat="1" ht="18.75" hidden="1" customHeight="1">
      <c r="A166" s="111" t="s">
        <v>18</v>
      </c>
      <c r="B166" s="112" t="s">
        <v>23</v>
      </c>
      <c r="C166" s="599" t="s">
        <v>229</v>
      </c>
      <c r="D166" s="201" t="s">
        <v>129</v>
      </c>
      <c r="E166" s="201" t="s">
        <v>130</v>
      </c>
      <c r="F166" s="201" t="s">
        <v>131</v>
      </c>
      <c r="G166" s="84"/>
      <c r="H166" s="159">
        <v>0</v>
      </c>
      <c r="I166" s="159">
        <v>0</v>
      </c>
      <c r="J166" s="160">
        <v>15000</v>
      </c>
      <c r="K166" s="160">
        <f t="shared" si="8"/>
        <v>15000</v>
      </c>
      <c r="L166" s="160">
        <f t="shared" si="9"/>
        <v>15000</v>
      </c>
    </row>
    <row r="167" spans="1:12" s="14" customFormat="1" ht="34.5" customHeight="1">
      <c r="A167" s="111" t="s">
        <v>18</v>
      </c>
      <c r="B167" s="112" t="s">
        <v>63</v>
      </c>
      <c r="C167" s="599" t="s">
        <v>230</v>
      </c>
      <c r="D167" s="78"/>
      <c r="E167" s="78"/>
      <c r="F167" s="78"/>
      <c r="G167" s="109"/>
      <c r="H167" s="23">
        <v>0</v>
      </c>
      <c r="I167" s="23">
        <v>0</v>
      </c>
      <c r="J167" s="23">
        <v>99000</v>
      </c>
      <c r="K167" s="23">
        <f t="shared" si="8"/>
        <v>99000</v>
      </c>
      <c r="L167" s="23">
        <f t="shared" si="9"/>
        <v>99000</v>
      </c>
    </row>
    <row r="168" spans="1:12" s="14" customFormat="1" ht="21" customHeight="1">
      <c r="A168" s="149" t="s">
        <v>18</v>
      </c>
      <c r="B168" s="109" t="s">
        <v>105</v>
      </c>
      <c r="C168" s="599" t="s">
        <v>231</v>
      </c>
      <c r="D168" s="150"/>
      <c r="E168" s="161">
        <v>20000</v>
      </c>
      <c r="F168" s="150"/>
      <c r="G168" s="150"/>
      <c r="H168" s="23">
        <v>0</v>
      </c>
      <c r="I168" s="23">
        <v>0</v>
      </c>
      <c r="J168" s="23">
        <v>15000</v>
      </c>
      <c r="K168" s="23">
        <f t="shared" si="8"/>
        <v>15000</v>
      </c>
      <c r="L168" s="23">
        <f t="shared" si="9"/>
        <v>15000</v>
      </c>
    </row>
    <row r="169" spans="1:12" s="51" customFormat="1" ht="21" hidden="1" customHeight="1">
      <c r="A169" s="63"/>
      <c r="B169" s="75"/>
      <c r="C169" s="603" t="s">
        <v>132</v>
      </c>
      <c r="D169" s="80"/>
      <c r="E169" s="81"/>
      <c r="F169" s="80"/>
      <c r="G169" s="73">
        <f>1200*1</f>
        <v>1200</v>
      </c>
      <c r="H169" s="32"/>
      <c r="I169" s="32"/>
      <c r="J169" s="33"/>
      <c r="K169" s="33">
        <f t="shared" si="8"/>
        <v>0</v>
      </c>
      <c r="L169" s="33">
        <f t="shared" si="9"/>
        <v>0</v>
      </c>
    </row>
    <row r="170" spans="1:12" s="51" customFormat="1" ht="21" hidden="1" customHeight="1">
      <c r="A170" s="63"/>
      <c r="B170" s="75"/>
      <c r="C170" s="603" t="s">
        <v>133</v>
      </c>
      <c r="D170" s="80"/>
      <c r="E170" s="81"/>
      <c r="F170" s="80"/>
      <c r="G170" s="73">
        <f>25*50*2</f>
        <v>2500</v>
      </c>
      <c r="H170" s="32"/>
      <c r="I170" s="32"/>
      <c r="J170" s="33"/>
      <c r="K170" s="33">
        <f t="shared" si="8"/>
        <v>0</v>
      </c>
      <c r="L170" s="33">
        <f t="shared" si="9"/>
        <v>0</v>
      </c>
    </row>
    <row r="171" spans="1:12" s="51" customFormat="1" ht="21" hidden="1" customHeight="1">
      <c r="A171" s="63"/>
      <c r="B171" s="75"/>
      <c r="C171" s="603" t="s">
        <v>134</v>
      </c>
      <c r="D171" s="80"/>
      <c r="E171" s="81"/>
      <c r="F171" s="80"/>
      <c r="G171" s="73">
        <f>50*50*1</f>
        <v>2500</v>
      </c>
      <c r="H171" s="32"/>
      <c r="I171" s="32"/>
      <c r="J171" s="33"/>
      <c r="K171" s="33">
        <f t="shared" si="8"/>
        <v>0</v>
      </c>
      <c r="L171" s="33">
        <f t="shared" si="9"/>
        <v>0</v>
      </c>
    </row>
    <row r="172" spans="1:12" s="51" customFormat="1" ht="21" hidden="1" customHeight="1">
      <c r="A172" s="63"/>
      <c r="B172" s="75"/>
      <c r="C172" s="603" t="s">
        <v>135</v>
      </c>
      <c r="D172" s="80"/>
      <c r="E172" s="81"/>
      <c r="F172" s="80"/>
      <c r="G172" s="73">
        <f>1200*6</f>
        <v>7200</v>
      </c>
      <c r="H172" s="32"/>
      <c r="I172" s="32"/>
      <c r="J172" s="33"/>
      <c r="K172" s="33">
        <f t="shared" si="8"/>
        <v>0</v>
      </c>
      <c r="L172" s="33">
        <f t="shared" si="9"/>
        <v>0</v>
      </c>
    </row>
    <row r="173" spans="1:12" s="51" customFormat="1" ht="15.75" hidden="1">
      <c r="A173" s="63"/>
      <c r="B173" s="75"/>
      <c r="C173" s="603" t="s">
        <v>136</v>
      </c>
      <c r="D173" s="80"/>
      <c r="E173" s="81"/>
      <c r="F173" s="80"/>
      <c r="G173" s="73">
        <f>6000*1</f>
        <v>6000</v>
      </c>
      <c r="H173" s="32"/>
      <c r="I173" s="32"/>
      <c r="J173" s="33"/>
      <c r="K173" s="33">
        <f t="shared" si="8"/>
        <v>0</v>
      </c>
      <c r="L173" s="33">
        <f t="shared" si="9"/>
        <v>0</v>
      </c>
    </row>
    <row r="174" spans="1:12" s="51" customFormat="1" ht="21" hidden="1" customHeight="1">
      <c r="A174" s="63"/>
      <c r="B174" s="75"/>
      <c r="C174" s="603" t="s">
        <v>137</v>
      </c>
      <c r="D174" s="80"/>
      <c r="E174" s="81"/>
      <c r="F174" s="80"/>
      <c r="G174" s="73">
        <v>600</v>
      </c>
      <c r="H174" s="32"/>
      <c r="I174" s="32"/>
      <c r="J174" s="33"/>
      <c r="K174" s="33">
        <f t="shared" si="8"/>
        <v>0</v>
      </c>
      <c r="L174" s="33">
        <f t="shared" si="9"/>
        <v>0</v>
      </c>
    </row>
    <row r="175" spans="1:12" s="14" customFormat="1" ht="56.25" customHeight="1">
      <c r="A175" s="149" t="s">
        <v>18</v>
      </c>
      <c r="B175" s="109" t="s">
        <v>105</v>
      </c>
      <c r="C175" s="599" t="s">
        <v>138</v>
      </c>
      <c r="D175" s="150"/>
      <c r="E175" s="150">
        <v>50000</v>
      </c>
      <c r="F175" s="150"/>
      <c r="G175" s="150"/>
      <c r="H175" s="23">
        <v>0</v>
      </c>
      <c r="I175" s="23">
        <v>0</v>
      </c>
      <c r="J175" s="23">
        <f>SUM(E175:H175)</f>
        <v>50000</v>
      </c>
      <c r="K175" s="23">
        <f t="shared" si="8"/>
        <v>50000</v>
      </c>
      <c r="L175" s="23">
        <f t="shared" si="9"/>
        <v>50000</v>
      </c>
    </row>
    <row r="176" spans="1:12" s="51" customFormat="1" ht="21" hidden="1" customHeight="1">
      <c r="A176" s="63"/>
      <c r="B176" s="75"/>
      <c r="C176" s="604" t="s">
        <v>139</v>
      </c>
      <c r="D176" s="80"/>
      <c r="E176" s="81"/>
      <c r="F176" s="80"/>
      <c r="G176" s="73"/>
      <c r="H176" s="23">
        <v>0</v>
      </c>
      <c r="I176" s="23">
        <v>0</v>
      </c>
      <c r="J176" s="33"/>
      <c r="K176" s="33">
        <f t="shared" si="8"/>
        <v>0</v>
      </c>
      <c r="L176" s="33">
        <f t="shared" si="9"/>
        <v>0</v>
      </c>
    </row>
    <row r="177" spans="1:12" s="14" customFormat="1" ht="17.25">
      <c r="A177" s="149" t="s">
        <v>18</v>
      </c>
      <c r="B177" s="109" t="s">
        <v>105</v>
      </c>
      <c r="C177" s="600" t="s">
        <v>140</v>
      </c>
      <c r="D177" s="150"/>
      <c r="E177" s="150">
        <v>10000</v>
      </c>
      <c r="F177" s="150"/>
      <c r="G177" s="150"/>
      <c r="H177" s="23">
        <v>0</v>
      </c>
      <c r="I177" s="23">
        <v>0</v>
      </c>
      <c r="J177" s="23">
        <f>SUM(G178:G179)</f>
        <v>4500</v>
      </c>
      <c r="K177" s="23">
        <f t="shared" si="8"/>
        <v>4500</v>
      </c>
      <c r="L177" s="23">
        <f t="shared" si="9"/>
        <v>4500</v>
      </c>
    </row>
    <row r="178" spans="1:12" s="51" customFormat="1" ht="31.5" hidden="1">
      <c r="A178" s="63"/>
      <c r="B178" s="75"/>
      <c r="C178" s="604" t="s">
        <v>141</v>
      </c>
      <c r="D178" s="80"/>
      <c r="E178" s="81"/>
      <c r="F178" s="80"/>
      <c r="G178" s="73">
        <f>50*5*12</f>
        <v>3000</v>
      </c>
      <c r="H178" s="23">
        <v>0</v>
      </c>
      <c r="I178" s="23">
        <v>0</v>
      </c>
      <c r="J178" s="33"/>
      <c r="K178" s="33">
        <f t="shared" si="8"/>
        <v>0</v>
      </c>
      <c r="L178" s="33">
        <f t="shared" si="9"/>
        <v>0</v>
      </c>
    </row>
    <row r="179" spans="1:12" s="51" customFormat="1" ht="31.5" hidden="1">
      <c r="A179" s="63"/>
      <c r="B179" s="75"/>
      <c r="C179" s="604" t="s">
        <v>142</v>
      </c>
      <c r="D179" s="80"/>
      <c r="E179" s="81"/>
      <c r="F179" s="80"/>
      <c r="G179" s="73">
        <f>50*5*6</f>
        <v>1500</v>
      </c>
      <c r="H179" s="23">
        <v>0</v>
      </c>
      <c r="I179" s="23">
        <v>0</v>
      </c>
      <c r="J179" s="33"/>
      <c r="K179" s="33">
        <f t="shared" si="8"/>
        <v>0</v>
      </c>
      <c r="L179" s="33">
        <f t="shared" si="9"/>
        <v>0</v>
      </c>
    </row>
    <row r="180" spans="1:12" s="14" customFormat="1" ht="52.5" customHeight="1">
      <c r="A180" s="149" t="s">
        <v>18</v>
      </c>
      <c r="B180" s="109" t="s">
        <v>105</v>
      </c>
      <c r="C180" s="600" t="s">
        <v>232</v>
      </c>
      <c r="D180" s="150"/>
      <c r="E180" s="150">
        <v>100000</v>
      </c>
      <c r="F180" s="150"/>
      <c r="G180" s="150"/>
      <c r="H180" s="23">
        <v>0</v>
      </c>
      <c r="I180" s="23">
        <v>0</v>
      </c>
      <c r="J180" s="23">
        <f>SUM(E180:H180)</f>
        <v>100000</v>
      </c>
      <c r="K180" s="23">
        <f t="shared" si="8"/>
        <v>100000</v>
      </c>
      <c r="L180" s="23">
        <f t="shared" si="9"/>
        <v>100000</v>
      </c>
    </row>
    <row r="181" spans="1:12" hidden="1">
      <c r="A181" s="29"/>
      <c r="B181" s="30"/>
      <c r="C181" s="605" t="s">
        <v>143</v>
      </c>
      <c r="D181" s="79"/>
      <c r="E181" s="81"/>
      <c r="F181" s="79"/>
      <c r="G181" s="31"/>
      <c r="H181" s="23">
        <v>0</v>
      </c>
      <c r="I181" s="23">
        <v>0</v>
      </c>
      <c r="J181" s="32"/>
      <c r="K181" s="34">
        <f t="shared" si="8"/>
        <v>0</v>
      </c>
      <c r="L181" s="34">
        <f t="shared" si="9"/>
        <v>0</v>
      </c>
    </row>
    <row r="182" spans="1:12" s="14" customFormat="1" ht="39.75" customHeight="1">
      <c r="A182" s="149" t="s">
        <v>18</v>
      </c>
      <c r="B182" s="109" t="s">
        <v>105</v>
      </c>
      <c r="C182" s="600" t="s">
        <v>144</v>
      </c>
      <c r="D182" s="150"/>
      <c r="E182" s="150">
        <v>200000</v>
      </c>
      <c r="F182" s="150" t="s">
        <v>145</v>
      </c>
      <c r="G182" s="150"/>
      <c r="H182" s="23">
        <v>0</v>
      </c>
      <c r="I182" s="23">
        <v>0</v>
      </c>
      <c r="J182" s="23">
        <f>SUM(E182:H182)</f>
        <v>200000</v>
      </c>
      <c r="K182" s="23">
        <f t="shared" si="8"/>
        <v>200000</v>
      </c>
      <c r="L182" s="23">
        <f t="shared" si="9"/>
        <v>200000</v>
      </c>
    </row>
    <row r="183" spans="1:12" s="51" customFormat="1" ht="17.25" hidden="1">
      <c r="A183" s="63"/>
      <c r="B183" s="75"/>
      <c r="C183" s="604" t="s">
        <v>146</v>
      </c>
      <c r="D183" s="80"/>
      <c r="E183" s="81"/>
      <c r="F183" s="80"/>
      <c r="G183" s="73"/>
      <c r="H183" s="23">
        <v>0</v>
      </c>
      <c r="I183" s="23">
        <v>0</v>
      </c>
      <c r="J183" s="33"/>
      <c r="K183" s="33">
        <f t="shared" si="8"/>
        <v>0</v>
      </c>
      <c r="L183" s="33">
        <f t="shared" si="9"/>
        <v>0</v>
      </c>
    </row>
    <row r="184" spans="1:12" s="51" customFormat="1" ht="31.5" hidden="1">
      <c r="A184" s="63"/>
      <c r="B184" s="75"/>
      <c r="C184" s="604" t="s">
        <v>147</v>
      </c>
      <c r="D184" s="80"/>
      <c r="E184" s="81"/>
      <c r="F184" s="80"/>
      <c r="G184" s="73"/>
      <c r="H184" s="23">
        <v>0</v>
      </c>
      <c r="I184" s="23">
        <v>0</v>
      </c>
      <c r="J184" s="33"/>
      <c r="K184" s="33">
        <f t="shared" si="8"/>
        <v>0</v>
      </c>
      <c r="L184" s="33">
        <f t="shared" si="9"/>
        <v>0</v>
      </c>
    </row>
    <row r="185" spans="1:12" s="14" customFormat="1" ht="17.25">
      <c r="A185" s="149" t="s">
        <v>18</v>
      </c>
      <c r="B185" s="109" t="s">
        <v>105</v>
      </c>
      <c r="C185" s="600" t="s">
        <v>148</v>
      </c>
      <c r="D185" s="150"/>
      <c r="E185" s="150">
        <v>0</v>
      </c>
      <c r="F185" s="150"/>
      <c r="G185" s="150"/>
      <c r="H185" s="23">
        <v>0</v>
      </c>
      <c r="I185" s="23">
        <v>0</v>
      </c>
      <c r="J185" s="163">
        <f>SUM(E185:H185)</f>
        <v>0</v>
      </c>
      <c r="K185" s="23">
        <f t="shared" si="8"/>
        <v>0</v>
      </c>
      <c r="L185" s="23">
        <f t="shared" si="9"/>
        <v>0</v>
      </c>
    </row>
    <row r="186" spans="1:12" s="14" customFormat="1" ht="51.75">
      <c r="A186" s="149" t="s">
        <v>18</v>
      </c>
      <c r="B186" s="109" t="s">
        <v>105</v>
      </c>
      <c r="C186" s="600" t="s">
        <v>149</v>
      </c>
      <c r="D186" s="150"/>
      <c r="E186" s="150">
        <v>16000</v>
      </c>
      <c r="F186" s="150" t="s">
        <v>150</v>
      </c>
      <c r="G186" s="150"/>
      <c r="H186" s="23">
        <v>0</v>
      </c>
      <c r="I186" s="23">
        <v>0</v>
      </c>
      <c r="J186" s="23">
        <f>60000+3700</f>
        <v>63700</v>
      </c>
      <c r="K186" s="23">
        <f t="shared" si="8"/>
        <v>63700</v>
      </c>
      <c r="L186" s="23">
        <f t="shared" si="9"/>
        <v>63700</v>
      </c>
    </row>
    <row r="187" spans="1:12" s="51" customFormat="1" ht="56.25" hidden="1" customHeight="1">
      <c r="A187" s="63"/>
      <c r="B187" s="75"/>
      <c r="C187" s="606" t="s">
        <v>151</v>
      </c>
      <c r="D187" s="80"/>
      <c r="E187" s="81"/>
      <c r="F187" s="80"/>
      <c r="G187" s="73"/>
      <c r="H187" s="23">
        <v>0</v>
      </c>
      <c r="I187" s="23">
        <v>0</v>
      </c>
      <c r="J187" s="33"/>
      <c r="K187" s="33">
        <f t="shared" si="8"/>
        <v>0</v>
      </c>
      <c r="L187" s="33">
        <f t="shared" si="9"/>
        <v>0</v>
      </c>
    </row>
    <row r="188" spans="1:12" s="51" customFormat="1" ht="33" hidden="1" customHeight="1">
      <c r="A188" s="63"/>
      <c r="B188" s="75"/>
      <c r="C188" s="606" t="s">
        <v>152</v>
      </c>
      <c r="D188" s="80"/>
      <c r="E188" s="81"/>
      <c r="F188" s="80"/>
      <c r="G188" s="73"/>
      <c r="H188" s="23">
        <v>0</v>
      </c>
      <c r="I188" s="23">
        <v>0</v>
      </c>
      <c r="J188" s="33"/>
      <c r="K188" s="33">
        <f t="shared" si="8"/>
        <v>0</v>
      </c>
      <c r="L188" s="33">
        <f t="shared" si="9"/>
        <v>0</v>
      </c>
    </row>
    <row r="189" spans="1:12" s="14" customFormat="1" ht="26.25" customHeight="1">
      <c r="A189" s="149" t="s">
        <v>18</v>
      </c>
      <c r="B189" s="109" t="s">
        <v>105</v>
      </c>
      <c r="C189" s="600" t="s">
        <v>153</v>
      </c>
      <c r="D189" s="150"/>
      <c r="E189" s="150">
        <v>15000</v>
      </c>
      <c r="F189" s="150"/>
      <c r="G189" s="150"/>
      <c r="H189" s="23">
        <v>0</v>
      </c>
      <c r="I189" s="23">
        <v>0</v>
      </c>
      <c r="J189" s="23">
        <v>10000</v>
      </c>
      <c r="K189" s="23">
        <f t="shared" si="8"/>
        <v>10000</v>
      </c>
      <c r="L189" s="23">
        <f t="shared" si="9"/>
        <v>10000</v>
      </c>
    </row>
    <row r="190" spans="1:12" s="51" customFormat="1" ht="17.25" hidden="1">
      <c r="A190" s="63"/>
      <c r="B190" s="75"/>
      <c r="C190" s="607" t="s">
        <v>154</v>
      </c>
      <c r="D190" s="80"/>
      <c r="E190" s="81"/>
      <c r="F190" s="80"/>
      <c r="G190" s="73"/>
      <c r="H190" s="23">
        <v>0</v>
      </c>
      <c r="I190" s="23">
        <v>0</v>
      </c>
      <c r="J190" s="162"/>
      <c r="K190" s="33">
        <f t="shared" si="8"/>
        <v>0</v>
      </c>
      <c r="L190" s="33">
        <f t="shared" si="9"/>
        <v>0</v>
      </c>
    </row>
    <row r="191" spans="1:12" s="51" customFormat="1" ht="38.25" hidden="1" customHeight="1">
      <c r="A191" s="63"/>
      <c r="B191" s="75"/>
      <c r="C191" s="607" t="s">
        <v>155</v>
      </c>
      <c r="D191" s="80"/>
      <c r="E191" s="81"/>
      <c r="F191" s="80"/>
      <c r="G191" s="73"/>
      <c r="H191" s="23">
        <v>0</v>
      </c>
      <c r="I191" s="23">
        <v>0</v>
      </c>
      <c r="J191" s="162"/>
      <c r="K191" s="33">
        <f t="shared" si="8"/>
        <v>0</v>
      </c>
      <c r="L191" s="33">
        <f t="shared" si="9"/>
        <v>0</v>
      </c>
    </row>
    <row r="192" spans="1:12" s="14" customFormat="1" ht="34.5">
      <c r="A192" s="149" t="s">
        <v>18</v>
      </c>
      <c r="B192" s="109" t="s">
        <v>105</v>
      </c>
      <c r="C192" s="600" t="s">
        <v>959</v>
      </c>
      <c r="D192" s="150"/>
      <c r="E192" s="150">
        <v>25000</v>
      </c>
      <c r="F192" s="150"/>
      <c r="G192" s="150"/>
      <c r="H192" s="23">
        <v>0</v>
      </c>
      <c r="I192" s="23">
        <v>0</v>
      </c>
      <c r="J192" s="23">
        <v>10000</v>
      </c>
      <c r="K192" s="23">
        <f t="shared" si="8"/>
        <v>10000</v>
      </c>
      <c r="L192" s="23">
        <f t="shared" si="9"/>
        <v>10000</v>
      </c>
    </row>
    <row r="193" spans="1:15" s="51" customFormat="1" ht="39.75" hidden="1" customHeight="1">
      <c r="A193" s="63"/>
      <c r="B193" s="75"/>
      <c r="C193" s="604" t="s">
        <v>156</v>
      </c>
      <c r="D193" s="80"/>
      <c r="E193" s="81"/>
      <c r="F193" s="80"/>
      <c r="G193" s="73"/>
      <c r="H193" s="32"/>
      <c r="I193" s="32"/>
      <c r="J193" s="162"/>
      <c r="K193" s="33">
        <f t="shared" si="8"/>
        <v>0</v>
      </c>
      <c r="L193" s="33">
        <f t="shared" si="9"/>
        <v>0</v>
      </c>
    </row>
    <row r="194" spans="1:15" s="14" customFormat="1" ht="39.75" customHeight="1">
      <c r="A194" s="164" t="s">
        <v>18</v>
      </c>
      <c r="B194" s="109" t="s">
        <v>105</v>
      </c>
      <c r="C194" s="600" t="s">
        <v>960</v>
      </c>
      <c r="D194" s="150"/>
      <c r="E194" s="150">
        <v>200000</v>
      </c>
      <c r="F194" s="150"/>
      <c r="G194" s="150"/>
      <c r="H194" s="23">
        <v>0</v>
      </c>
      <c r="I194" s="23">
        <v>0</v>
      </c>
      <c r="J194" s="23">
        <v>120000</v>
      </c>
      <c r="K194" s="23">
        <f t="shared" si="8"/>
        <v>120000</v>
      </c>
      <c r="L194" s="23">
        <f t="shared" si="9"/>
        <v>120000</v>
      </c>
    </row>
    <row r="195" spans="1:15" s="51" customFormat="1" ht="31.5" hidden="1">
      <c r="A195" s="63"/>
      <c r="B195" s="75"/>
      <c r="C195" s="604" t="s">
        <v>961</v>
      </c>
      <c r="D195" s="80"/>
      <c r="E195" s="81"/>
      <c r="F195" s="80"/>
      <c r="G195" s="73"/>
      <c r="H195" s="32"/>
      <c r="I195" s="32"/>
      <c r="J195" s="33"/>
      <c r="K195" s="33" t="s">
        <v>18</v>
      </c>
      <c r="L195" s="33" t="s">
        <v>18</v>
      </c>
    </row>
    <row r="196" spans="1:15" s="51" customFormat="1" ht="31.5" hidden="1">
      <c r="A196" s="63"/>
      <c r="B196" s="75"/>
      <c r="C196" s="604" t="s">
        <v>962</v>
      </c>
      <c r="D196" s="80"/>
      <c r="E196" s="81"/>
      <c r="F196" s="80"/>
      <c r="G196" s="73"/>
      <c r="H196" s="32"/>
      <c r="I196" s="32"/>
      <c r="J196" s="33"/>
      <c r="K196" s="33" t="s">
        <v>18</v>
      </c>
      <c r="L196" s="33" t="s">
        <v>18</v>
      </c>
    </row>
    <row r="197" spans="1:15" s="50" customFormat="1" ht="63">
      <c r="A197" s="538">
        <v>8</v>
      </c>
      <c r="B197" s="583" t="s">
        <v>16</v>
      </c>
      <c r="C197" s="559" t="s">
        <v>244</v>
      </c>
      <c r="D197" s="608"/>
      <c r="E197" s="608"/>
      <c r="F197" s="608"/>
      <c r="G197" s="608"/>
      <c r="H197" s="576">
        <v>0</v>
      </c>
      <c r="I197" s="576">
        <f>I199</f>
        <v>0</v>
      </c>
      <c r="J197" s="576">
        <f>J198+J211+J217+J222</f>
        <v>8255000</v>
      </c>
      <c r="K197" s="543">
        <f t="shared" si="8"/>
        <v>8255000</v>
      </c>
      <c r="L197" s="543">
        <f t="shared" si="9"/>
        <v>8255000</v>
      </c>
      <c r="N197" s="50" t="s">
        <v>245</v>
      </c>
      <c r="O197" s="50" t="s">
        <v>246</v>
      </c>
    </row>
    <row r="198" spans="1:15" s="50" customFormat="1" ht="26.25" customHeight="1">
      <c r="A198" s="8"/>
      <c r="B198" s="40"/>
      <c r="C198" s="609" t="s">
        <v>247</v>
      </c>
      <c r="D198" s="37"/>
      <c r="E198" s="37"/>
      <c r="F198" s="37"/>
      <c r="G198" s="37"/>
      <c r="H198" s="10"/>
      <c r="I198" s="10"/>
      <c r="J198" s="10">
        <f>J199+J200+J201+J203+J204+J206+J207+J209</f>
        <v>3330000</v>
      </c>
      <c r="K198" s="34">
        <f t="shared" si="8"/>
        <v>3330000</v>
      </c>
      <c r="L198" s="34">
        <f t="shared" si="9"/>
        <v>3330000</v>
      </c>
    </row>
    <row r="199" spans="1:15" s="50" customFormat="1" ht="21" customHeight="1">
      <c r="A199" s="74" t="s">
        <v>18</v>
      </c>
      <c r="B199" s="171" t="s">
        <v>104</v>
      </c>
      <c r="C199" s="545" t="s">
        <v>157</v>
      </c>
      <c r="D199" s="37"/>
      <c r="E199" s="37"/>
      <c r="F199" s="37"/>
      <c r="G199" s="37"/>
      <c r="H199" s="26">
        <v>0</v>
      </c>
      <c r="I199" s="26">
        <v>0</v>
      </c>
      <c r="J199" s="26">
        <v>300000</v>
      </c>
      <c r="K199" s="10">
        <f t="shared" si="8"/>
        <v>300000</v>
      </c>
      <c r="L199" s="10">
        <f t="shared" si="9"/>
        <v>300000</v>
      </c>
      <c r="N199" s="180">
        <f>J199+J200+J201+J203+J204+J206+J207+J209</f>
        <v>3330000</v>
      </c>
    </row>
    <row r="200" spans="1:15" s="50" customFormat="1" ht="40.5" customHeight="1">
      <c r="A200" s="29" t="s">
        <v>18</v>
      </c>
      <c r="B200" s="30" t="s">
        <v>104</v>
      </c>
      <c r="C200" s="545" t="s">
        <v>253</v>
      </c>
      <c r="D200" s="17"/>
      <c r="E200" s="17"/>
      <c r="F200" s="17"/>
      <c r="G200" s="17"/>
      <c r="H200" s="38">
        <v>0</v>
      </c>
      <c r="I200" s="38">
        <v>0</v>
      </c>
      <c r="J200" s="26">
        <v>300000</v>
      </c>
      <c r="K200" s="10">
        <f t="shared" si="8"/>
        <v>300000</v>
      </c>
      <c r="L200" s="10">
        <f t="shared" si="9"/>
        <v>300000</v>
      </c>
      <c r="N200" s="180">
        <f>J220+J218</f>
        <v>2300000</v>
      </c>
    </row>
    <row r="201" spans="1:15" s="50" customFormat="1" ht="21" customHeight="1">
      <c r="A201" s="29" t="s">
        <v>18</v>
      </c>
      <c r="B201" s="30" t="s">
        <v>97</v>
      </c>
      <c r="C201" s="545" t="s">
        <v>233</v>
      </c>
      <c r="D201" s="17"/>
      <c r="E201" s="17"/>
      <c r="F201" s="17"/>
      <c r="G201" s="17"/>
      <c r="H201" s="38">
        <v>0</v>
      </c>
      <c r="I201" s="38">
        <v>0</v>
      </c>
      <c r="J201" s="38">
        <f>G202</f>
        <v>720000</v>
      </c>
      <c r="K201" s="10">
        <f t="shared" si="8"/>
        <v>720000</v>
      </c>
      <c r="L201" s="10">
        <f t="shared" si="9"/>
        <v>720000</v>
      </c>
      <c r="N201" s="180">
        <f>J212</f>
        <v>625000</v>
      </c>
    </row>
    <row r="202" spans="1:15" s="50" customFormat="1" ht="31.5" hidden="1" customHeight="1">
      <c r="A202" s="60"/>
      <c r="B202" s="61"/>
      <c r="C202" s="610" t="s">
        <v>158</v>
      </c>
      <c r="D202" s="91"/>
      <c r="E202" s="91"/>
      <c r="F202" s="91"/>
      <c r="G202" s="20">
        <f>120000*6</f>
        <v>720000</v>
      </c>
      <c r="H202" s="38"/>
      <c r="I202" s="38"/>
      <c r="J202" s="10"/>
      <c r="K202" s="10">
        <f t="shared" si="8"/>
        <v>0</v>
      </c>
      <c r="L202" s="10">
        <f t="shared" si="9"/>
        <v>0</v>
      </c>
    </row>
    <row r="203" spans="1:15" s="45" customFormat="1" ht="21" customHeight="1">
      <c r="A203" s="29" t="s">
        <v>18</v>
      </c>
      <c r="B203" s="30" t="s">
        <v>23</v>
      </c>
      <c r="C203" s="545" t="s">
        <v>963</v>
      </c>
      <c r="D203" s="200" t="s">
        <v>160</v>
      </c>
      <c r="E203" s="200" t="s">
        <v>161</v>
      </c>
      <c r="F203" s="200" t="s">
        <v>162</v>
      </c>
      <c r="G203" s="172"/>
      <c r="H203" s="10">
        <v>0</v>
      </c>
      <c r="I203" s="10">
        <v>0</v>
      </c>
      <c r="J203" s="10">
        <v>500000</v>
      </c>
      <c r="K203" s="10">
        <f t="shared" si="8"/>
        <v>500000</v>
      </c>
      <c r="L203" s="10">
        <f t="shared" si="9"/>
        <v>500000</v>
      </c>
    </row>
    <row r="204" spans="1:15" s="50" customFormat="1" ht="21" customHeight="1">
      <c r="A204" s="63" t="s">
        <v>18</v>
      </c>
      <c r="B204" s="30" t="s">
        <v>23</v>
      </c>
      <c r="C204" s="545" t="s">
        <v>250</v>
      </c>
      <c r="D204" s="666" t="s">
        <v>163</v>
      </c>
      <c r="E204" s="666" t="s">
        <v>164</v>
      </c>
      <c r="F204" s="668" t="s">
        <v>165</v>
      </c>
      <c r="G204" s="82"/>
      <c r="H204" s="10">
        <v>0</v>
      </c>
      <c r="I204" s="10">
        <v>0</v>
      </c>
      <c r="J204" s="10">
        <f>G205</f>
        <v>350000</v>
      </c>
      <c r="K204" s="10">
        <f t="shared" si="8"/>
        <v>350000</v>
      </c>
      <c r="L204" s="10">
        <f t="shared" si="9"/>
        <v>350000</v>
      </c>
    </row>
    <row r="205" spans="1:15" s="50" customFormat="1" ht="21" hidden="1" customHeight="1">
      <c r="A205" s="29"/>
      <c r="B205" s="30"/>
      <c r="C205" s="611" t="s">
        <v>166</v>
      </c>
      <c r="D205" s="667"/>
      <c r="E205" s="667"/>
      <c r="F205" s="669"/>
      <c r="G205" s="169">
        <v>350000</v>
      </c>
      <c r="H205" s="38"/>
      <c r="I205" s="38"/>
      <c r="J205" s="10"/>
      <c r="K205" s="10">
        <f t="shared" si="8"/>
        <v>0</v>
      </c>
      <c r="L205" s="10">
        <f t="shared" si="9"/>
        <v>0</v>
      </c>
    </row>
    <row r="206" spans="1:15" s="50" customFormat="1" ht="24.75" customHeight="1">
      <c r="A206" s="9" t="s">
        <v>18</v>
      </c>
      <c r="B206" s="35" t="s">
        <v>167</v>
      </c>
      <c r="C206" s="545" t="s">
        <v>251</v>
      </c>
      <c r="D206" s="101"/>
      <c r="E206" s="101" t="s">
        <v>18</v>
      </c>
      <c r="F206" s="101"/>
      <c r="G206" s="101">
        <v>100000</v>
      </c>
      <c r="H206" s="184">
        <v>0</v>
      </c>
      <c r="I206" s="184">
        <v>0</v>
      </c>
      <c r="J206" s="10">
        <v>100000</v>
      </c>
      <c r="K206" s="10">
        <f t="shared" si="8"/>
        <v>100000</v>
      </c>
      <c r="L206" s="10">
        <f t="shared" si="9"/>
        <v>100000</v>
      </c>
    </row>
    <row r="207" spans="1:15" s="50" customFormat="1" ht="24" customHeight="1">
      <c r="A207" s="9" t="s">
        <v>18</v>
      </c>
      <c r="B207" s="35" t="s">
        <v>105</v>
      </c>
      <c r="C207" s="545" t="s">
        <v>252</v>
      </c>
      <c r="D207" s="101"/>
      <c r="E207" s="101" t="s">
        <v>18</v>
      </c>
      <c r="F207" s="101"/>
      <c r="G207" s="101">
        <f>60000*2</f>
        <v>120000</v>
      </c>
      <c r="H207" s="184">
        <v>0</v>
      </c>
      <c r="I207" s="184">
        <v>0</v>
      </c>
      <c r="J207" s="10">
        <v>120000</v>
      </c>
      <c r="K207" s="10">
        <f t="shared" si="8"/>
        <v>120000</v>
      </c>
      <c r="L207" s="10">
        <f t="shared" si="9"/>
        <v>120000</v>
      </c>
    </row>
    <row r="208" spans="1:15" s="50" customFormat="1" ht="31.5" hidden="1" customHeight="1">
      <c r="A208" s="29"/>
      <c r="B208" s="30"/>
      <c r="C208" s="612" t="s">
        <v>168</v>
      </c>
      <c r="D208" s="101"/>
      <c r="E208" s="174"/>
      <c r="F208" s="101"/>
      <c r="G208" s="169"/>
      <c r="H208" s="38"/>
      <c r="I208" s="44"/>
      <c r="J208" s="38"/>
      <c r="K208" s="10">
        <f t="shared" si="8"/>
        <v>0</v>
      </c>
      <c r="L208" s="10">
        <f t="shared" si="9"/>
        <v>0</v>
      </c>
    </row>
    <row r="209" spans="1:15" s="50" customFormat="1" ht="21" customHeight="1">
      <c r="A209" s="9" t="s">
        <v>18</v>
      </c>
      <c r="B209" s="35" t="s">
        <v>97</v>
      </c>
      <c r="C209" s="545" t="s">
        <v>964</v>
      </c>
      <c r="D209" s="101"/>
      <c r="E209" s="101" t="s">
        <v>18</v>
      </c>
      <c r="F209" s="101"/>
      <c r="G209" s="101">
        <v>940000</v>
      </c>
      <c r="H209" s="613">
        <v>0</v>
      </c>
      <c r="I209" s="613">
        <v>0</v>
      </c>
      <c r="J209" s="613">
        <f>G209</f>
        <v>940000</v>
      </c>
      <c r="K209" s="614">
        <f>I209+J209</f>
        <v>940000</v>
      </c>
      <c r="L209" s="614">
        <f>H209+K209</f>
        <v>940000</v>
      </c>
    </row>
    <row r="210" spans="1:15" s="50" customFormat="1" ht="21" hidden="1" customHeight="1">
      <c r="A210" s="29"/>
      <c r="B210" s="30"/>
      <c r="C210" s="615" t="s">
        <v>169</v>
      </c>
      <c r="D210" s="101"/>
      <c r="E210" s="174"/>
      <c r="F210" s="101"/>
      <c r="G210" s="169"/>
      <c r="H210" s="32"/>
      <c r="I210" s="101"/>
      <c r="J210" s="32"/>
      <c r="K210" s="34">
        <f>I210+J210</f>
        <v>0</v>
      </c>
      <c r="L210" s="34">
        <f>H210+K210</f>
        <v>0</v>
      </c>
    </row>
    <row r="211" spans="1:15" s="50" customFormat="1" ht="24.75" customHeight="1">
      <c r="A211" s="29"/>
      <c r="B211" s="30"/>
      <c r="C211" s="609" t="s">
        <v>248</v>
      </c>
      <c r="D211" s="101"/>
      <c r="E211" s="174"/>
      <c r="F211" s="101"/>
      <c r="G211" s="169"/>
      <c r="H211" s="32">
        <v>0</v>
      </c>
      <c r="I211" s="616">
        <v>0</v>
      </c>
      <c r="J211" s="10">
        <f>J212</f>
        <v>625000</v>
      </c>
      <c r="K211" s="10">
        <f>I211+J211</f>
        <v>625000</v>
      </c>
      <c r="L211" s="10">
        <f>H211+K211</f>
        <v>625000</v>
      </c>
    </row>
    <row r="212" spans="1:15" s="45" customFormat="1" ht="21" customHeight="1">
      <c r="A212" s="9" t="s">
        <v>18</v>
      </c>
      <c r="B212" s="37" t="s">
        <v>46</v>
      </c>
      <c r="C212" s="589" t="s">
        <v>234</v>
      </c>
      <c r="D212" s="44"/>
      <c r="E212" s="44" t="s">
        <v>18</v>
      </c>
      <c r="F212" s="44"/>
      <c r="G212" s="100" t="s">
        <v>18</v>
      </c>
      <c r="H212" s="184">
        <v>0</v>
      </c>
      <c r="I212" s="184">
        <v>0</v>
      </c>
      <c r="J212" s="10">
        <f>SUM(J213:J216)</f>
        <v>625000</v>
      </c>
      <c r="K212" s="10">
        <f>I212+J212</f>
        <v>625000</v>
      </c>
      <c r="L212" s="10">
        <f>H212+K212</f>
        <v>625000</v>
      </c>
    </row>
    <row r="213" spans="1:15" s="50" customFormat="1" ht="21" customHeight="1">
      <c r="A213" s="29"/>
      <c r="B213" s="30"/>
      <c r="C213" s="617" t="s">
        <v>965</v>
      </c>
      <c r="D213" s="95"/>
      <c r="E213" s="174"/>
      <c r="F213" s="95"/>
      <c r="G213" s="170">
        <f>5*30000</f>
        <v>150000</v>
      </c>
      <c r="H213" s="183" t="s">
        <v>18</v>
      </c>
      <c r="I213" s="183" t="s">
        <v>18</v>
      </c>
      <c r="J213" s="618">
        <f>5*30000</f>
        <v>150000</v>
      </c>
      <c r="K213" s="85" t="s">
        <v>18</v>
      </c>
      <c r="L213" s="85" t="s">
        <v>18</v>
      </c>
    </row>
    <row r="214" spans="1:15" s="50" customFormat="1" ht="21" customHeight="1">
      <c r="A214" s="29"/>
      <c r="B214" s="30"/>
      <c r="C214" s="617" t="s">
        <v>966</v>
      </c>
      <c r="D214" s="95"/>
      <c r="E214" s="174"/>
      <c r="F214" s="95"/>
      <c r="G214" s="170">
        <f>4*50000</f>
        <v>200000</v>
      </c>
      <c r="H214" s="183"/>
      <c r="I214" s="183"/>
      <c r="J214" s="618">
        <f>4*50000</f>
        <v>200000</v>
      </c>
      <c r="K214" s="85" t="s">
        <v>18</v>
      </c>
      <c r="L214" s="85" t="s">
        <v>64</v>
      </c>
    </row>
    <row r="215" spans="1:15" s="50" customFormat="1" ht="23.25" customHeight="1">
      <c r="A215" s="29"/>
      <c r="B215" s="30"/>
      <c r="C215" s="617" t="s">
        <v>967</v>
      </c>
      <c r="D215" s="95"/>
      <c r="E215" s="174"/>
      <c r="F215" s="95"/>
      <c r="G215" s="170">
        <v>250000</v>
      </c>
      <c r="H215" s="183"/>
      <c r="I215" s="183"/>
      <c r="J215" s="618">
        <f>200*1250</f>
        <v>250000</v>
      </c>
      <c r="K215" s="85" t="s">
        <v>18</v>
      </c>
      <c r="L215" s="85" t="s">
        <v>18</v>
      </c>
    </row>
    <row r="216" spans="1:15" s="50" customFormat="1" ht="21" customHeight="1">
      <c r="A216" s="29"/>
      <c r="B216" s="30"/>
      <c r="C216" s="617" t="s">
        <v>968</v>
      </c>
      <c r="D216" s="95"/>
      <c r="E216" s="174"/>
      <c r="F216" s="95"/>
      <c r="G216" s="170">
        <v>25000</v>
      </c>
      <c r="H216" s="183"/>
      <c r="I216" s="183"/>
      <c r="J216" s="182">
        <v>25000</v>
      </c>
      <c r="K216" s="85" t="s">
        <v>18</v>
      </c>
      <c r="L216" s="85" t="s">
        <v>18</v>
      </c>
    </row>
    <row r="217" spans="1:15" s="50" customFormat="1" ht="21" customHeight="1">
      <c r="A217" s="29"/>
      <c r="B217" s="30"/>
      <c r="C217" s="609" t="s">
        <v>249</v>
      </c>
      <c r="D217" s="101"/>
      <c r="E217" s="174"/>
      <c r="F217" s="101"/>
      <c r="G217" s="169"/>
      <c r="H217" s="32">
        <v>0</v>
      </c>
      <c r="I217" s="32">
        <v>0</v>
      </c>
      <c r="J217" s="10">
        <f>J218+J220</f>
        <v>2300000</v>
      </c>
      <c r="K217" s="10">
        <f t="shared" ref="K217:K222" si="10">I217+J217</f>
        <v>2300000</v>
      </c>
      <c r="L217" s="10">
        <f t="shared" ref="L217:L222" si="11">H217+K217</f>
        <v>2300000</v>
      </c>
    </row>
    <row r="218" spans="1:15" s="50" customFormat="1" ht="21" customHeight="1">
      <c r="A218" s="29" t="s">
        <v>18</v>
      </c>
      <c r="B218" s="30" t="s">
        <v>104</v>
      </c>
      <c r="C218" s="589" t="s">
        <v>348</v>
      </c>
      <c r="D218" s="17"/>
      <c r="E218" s="17"/>
      <c r="F218" s="17"/>
      <c r="G218" s="17"/>
      <c r="H218" s="32">
        <v>0</v>
      </c>
      <c r="I218" s="32">
        <v>0</v>
      </c>
      <c r="J218" s="32">
        <f>G219</f>
        <v>800000</v>
      </c>
      <c r="K218" s="34">
        <f t="shared" si="10"/>
        <v>800000</v>
      </c>
      <c r="L218" s="34">
        <f t="shared" si="11"/>
        <v>800000</v>
      </c>
      <c r="N218" s="180">
        <f>J223</f>
        <v>2000000</v>
      </c>
    </row>
    <row r="219" spans="1:15" s="50" customFormat="1">
      <c r="A219" s="29"/>
      <c r="B219" s="30"/>
      <c r="C219" s="619" t="s">
        <v>159</v>
      </c>
      <c r="D219" s="49"/>
      <c r="E219" s="49"/>
      <c r="F219" s="49"/>
      <c r="G219" s="169">
        <v>800000</v>
      </c>
      <c r="H219" s="32"/>
      <c r="I219" s="32"/>
      <c r="J219" s="33"/>
      <c r="K219" s="34">
        <f t="shared" si="10"/>
        <v>0</v>
      </c>
      <c r="L219" s="34">
        <f t="shared" si="11"/>
        <v>0</v>
      </c>
    </row>
    <row r="220" spans="1:15" s="173" customFormat="1" ht="21" customHeight="1">
      <c r="A220" s="74" t="s">
        <v>18</v>
      </c>
      <c r="B220" s="46" t="s">
        <v>104</v>
      </c>
      <c r="C220" s="589" t="s">
        <v>349</v>
      </c>
      <c r="D220" s="172"/>
      <c r="E220" s="172"/>
      <c r="F220" s="172"/>
      <c r="G220" s="172"/>
      <c r="H220" s="33">
        <v>0</v>
      </c>
      <c r="I220" s="33">
        <v>0</v>
      </c>
      <c r="J220" s="33">
        <f>G221</f>
        <v>1500000</v>
      </c>
      <c r="K220" s="34">
        <f t="shared" si="10"/>
        <v>1500000</v>
      </c>
      <c r="L220" s="34">
        <f t="shared" si="11"/>
        <v>1500000</v>
      </c>
      <c r="N220" s="181">
        <f>SUM(N199:N218)</f>
        <v>8255000</v>
      </c>
    </row>
    <row r="221" spans="1:15" s="50" customFormat="1">
      <c r="A221" s="29"/>
      <c r="B221" s="30"/>
      <c r="C221" s="619" t="s">
        <v>159</v>
      </c>
      <c r="D221" s="49"/>
      <c r="E221" s="49"/>
      <c r="F221" s="49"/>
      <c r="G221" s="169">
        <v>1500000</v>
      </c>
      <c r="H221" s="32"/>
      <c r="I221" s="32"/>
      <c r="J221" s="33"/>
      <c r="K221" s="34">
        <f t="shared" si="10"/>
        <v>0</v>
      </c>
      <c r="L221" s="34">
        <f t="shared" si="11"/>
        <v>0</v>
      </c>
    </row>
    <row r="222" spans="1:15" s="50" customFormat="1">
      <c r="A222" s="29"/>
      <c r="B222" s="30"/>
      <c r="C222" s="609" t="s">
        <v>80</v>
      </c>
      <c r="D222" s="101"/>
      <c r="E222" s="174"/>
      <c r="F222" s="101"/>
      <c r="G222" s="169"/>
      <c r="H222" s="32">
        <v>0</v>
      </c>
      <c r="I222" s="616">
        <v>0</v>
      </c>
      <c r="J222" s="10">
        <f>J223</f>
        <v>2000000</v>
      </c>
      <c r="K222" s="10">
        <f t="shared" si="10"/>
        <v>2000000</v>
      </c>
      <c r="L222" s="10">
        <f t="shared" si="11"/>
        <v>2000000</v>
      </c>
    </row>
    <row r="223" spans="1:15" s="45" customFormat="1" ht="37.5">
      <c r="A223" s="36" t="s">
        <v>18</v>
      </c>
      <c r="B223" s="40" t="s">
        <v>105</v>
      </c>
      <c r="C223" s="589" t="s">
        <v>254</v>
      </c>
      <c r="D223" s="620"/>
      <c r="E223" s="620"/>
      <c r="F223" s="620"/>
      <c r="G223" s="37">
        <v>2000000</v>
      </c>
      <c r="H223" s="10">
        <v>0</v>
      </c>
      <c r="I223" s="10">
        <v>0</v>
      </c>
      <c r="J223" s="10">
        <v>2000000</v>
      </c>
      <c r="K223" s="10">
        <f t="shared" si="8"/>
        <v>2000000</v>
      </c>
      <c r="L223" s="10">
        <f t="shared" si="9"/>
        <v>2000000</v>
      </c>
    </row>
    <row r="224" spans="1:15" s="50" customFormat="1">
      <c r="A224" s="621">
        <v>9</v>
      </c>
      <c r="B224" s="575" t="s">
        <v>93</v>
      </c>
      <c r="C224" s="559" t="s">
        <v>170</v>
      </c>
      <c r="D224" s="560"/>
      <c r="E224" s="560"/>
      <c r="F224" s="560"/>
      <c r="G224" s="560"/>
      <c r="H224" s="576">
        <v>0</v>
      </c>
      <c r="I224" s="576">
        <f>G225</f>
        <v>500000</v>
      </c>
      <c r="J224" s="576">
        <v>0</v>
      </c>
      <c r="K224" s="543">
        <f t="shared" si="8"/>
        <v>500000</v>
      </c>
      <c r="L224" s="543">
        <f t="shared" si="9"/>
        <v>500000</v>
      </c>
      <c r="N224" s="50" t="s">
        <v>245</v>
      </c>
      <c r="O224" s="50" t="s">
        <v>246</v>
      </c>
    </row>
    <row r="225" spans="1:15" s="50" customFormat="1">
      <c r="A225" s="87" t="s">
        <v>18</v>
      </c>
      <c r="B225" s="88" t="s">
        <v>18</v>
      </c>
      <c r="C225" s="622" t="s">
        <v>171</v>
      </c>
      <c r="D225" s="49"/>
      <c r="E225" s="49"/>
      <c r="F225" s="49"/>
      <c r="G225" s="169">
        <v>500000</v>
      </c>
      <c r="H225" s="10" t="s">
        <v>18</v>
      </c>
      <c r="I225" s="59" t="s">
        <v>18</v>
      </c>
      <c r="J225" s="10" t="s">
        <v>18</v>
      </c>
      <c r="K225" s="34" t="s">
        <v>18</v>
      </c>
      <c r="L225" s="34" t="s">
        <v>18</v>
      </c>
    </row>
    <row r="226" spans="1:15" s="50" customFormat="1" ht="63">
      <c r="A226" s="623">
        <v>10</v>
      </c>
      <c r="B226" s="575" t="s">
        <v>93</v>
      </c>
      <c r="C226" s="624" t="s">
        <v>172</v>
      </c>
      <c r="D226" s="625"/>
      <c r="E226" s="625"/>
      <c r="F226" s="625"/>
      <c r="G226" s="576">
        <v>0</v>
      </c>
      <c r="H226" s="576">
        <v>0</v>
      </c>
      <c r="I226" s="576">
        <f>G227</f>
        <v>80000</v>
      </c>
      <c r="J226" s="576">
        <v>0</v>
      </c>
      <c r="K226" s="543">
        <f t="shared" si="8"/>
        <v>80000</v>
      </c>
      <c r="L226" s="543">
        <f t="shared" si="9"/>
        <v>80000</v>
      </c>
      <c r="N226" s="50" t="s">
        <v>245</v>
      </c>
      <c r="O226" s="50" t="s">
        <v>246</v>
      </c>
    </row>
    <row r="227" spans="1:15" s="128" customFormat="1" ht="34.5">
      <c r="A227" s="626"/>
      <c r="B227" s="627"/>
      <c r="C227" s="628" t="s">
        <v>173</v>
      </c>
      <c r="D227" s="629"/>
      <c r="E227" s="629"/>
      <c r="F227" s="629"/>
      <c r="G227" s="630">
        <v>80000</v>
      </c>
      <c r="H227" s="631"/>
      <c r="I227" s="631"/>
      <c r="J227" s="631"/>
      <c r="K227" s="631">
        <f t="shared" si="8"/>
        <v>0</v>
      </c>
      <c r="L227" s="631">
        <f t="shared" si="9"/>
        <v>0</v>
      </c>
    </row>
    <row r="228" spans="1:15" s="50" customFormat="1" ht="42">
      <c r="A228" s="538">
        <v>11</v>
      </c>
      <c r="B228" s="583" t="s">
        <v>93</v>
      </c>
      <c r="C228" s="624" t="s">
        <v>174</v>
      </c>
      <c r="D228" s="625"/>
      <c r="E228" s="625"/>
      <c r="F228" s="625"/>
      <c r="G228" s="560"/>
      <c r="H228" s="576">
        <v>0</v>
      </c>
      <c r="I228" s="576">
        <v>60000</v>
      </c>
      <c r="J228" s="576">
        <v>0</v>
      </c>
      <c r="K228" s="543">
        <f t="shared" ref="K228:K250" si="12">I228+J228</f>
        <v>60000</v>
      </c>
      <c r="L228" s="543">
        <f t="shared" ref="L228:L250" si="13">H228+K228</f>
        <v>60000</v>
      </c>
      <c r="N228" s="50" t="s">
        <v>245</v>
      </c>
      <c r="O228" s="50" t="s">
        <v>246</v>
      </c>
    </row>
    <row r="229" spans="1:15" s="50" customFormat="1" ht="48" customHeight="1">
      <c r="A229" s="623">
        <v>12</v>
      </c>
      <c r="B229" s="583" t="s">
        <v>23</v>
      </c>
      <c r="C229" s="559" t="s">
        <v>175</v>
      </c>
      <c r="D229" s="560" t="s">
        <v>176</v>
      </c>
      <c r="E229" s="560" t="s">
        <v>177</v>
      </c>
      <c r="F229" s="560" t="s">
        <v>178</v>
      </c>
      <c r="G229" s="560"/>
      <c r="H229" s="632">
        <v>0</v>
      </c>
      <c r="I229" s="576">
        <v>0</v>
      </c>
      <c r="J229" s="576">
        <v>0</v>
      </c>
      <c r="K229" s="543">
        <f>I229+J229</f>
        <v>0</v>
      </c>
      <c r="L229" s="543">
        <f>H229+K229</f>
        <v>0</v>
      </c>
      <c r="N229" s="50" t="s">
        <v>245</v>
      </c>
      <c r="O229" s="50" t="s">
        <v>246</v>
      </c>
    </row>
    <row r="230" spans="1:15" s="50" customFormat="1" ht="26.25" customHeight="1">
      <c r="A230" s="538">
        <v>13</v>
      </c>
      <c r="B230" s="583" t="s">
        <v>23</v>
      </c>
      <c r="C230" s="559" t="s">
        <v>179</v>
      </c>
      <c r="D230" s="560" t="s">
        <v>180</v>
      </c>
      <c r="E230" s="560" t="s">
        <v>181</v>
      </c>
      <c r="F230" s="560" t="s">
        <v>182</v>
      </c>
      <c r="G230" s="560"/>
      <c r="H230" s="633">
        <v>0</v>
      </c>
      <c r="I230" s="543">
        <v>200000</v>
      </c>
      <c r="J230" s="543">
        <v>0</v>
      </c>
      <c r="K230" s="543">
        <f t="shared" si="12"/>
        <v>200000</v>
      </c>
      <c r="L230" s="543">
        <f t="shared" si="13"/>
        <v>200000</v>
      </c>
      <c r="N230" s="50" t="s">
        <v>258</v>
      </c>
      <c r="O230" s="50" t="s">
        <v>259</v>
      </c>
    </row>
    <row r="231" spans="1:15" s="50" customFormat="1">
      <c r="A231" s="538">
        <v>14</v>
      </c>
      <c r="B231" s="583" t="s">
        <v>23</v>
      </c>
      <c r="C231" s="634" t="s">
        <v>257</v>
      </c>
      <c r="D231" s="635" t="s">
        <v>180</v>
      </c>
      <c r="E231" s="635" t="s">
        <v>181</v>
      </c>
      <c r="F231" s="635" t="s">
        <v>183</v>
      </c>
      <c r="G231" s="636"/>
      <c r="H231" s="637">
        <v>0</v>
      </c>
      <c r="I231" s="638">
        <v>900000</v>
      </c>
      <c r="J231" s="638">
        <v>0</v>
      </c>
      <c r="K231" s="638">
        <f t="shared" si="12"/>
        <v>900000</v>
      </c>
      <c r="L231" s="638">
        <f t="shared" si="13"/>
        <v>900000</v>
      </c>
      <c r="N231" s="50" t="s">
        <v>258</v>
      </c>
      <c r="O231" s="50" t="s">
        <v>259</v>
      </c>
    </row>
    <row r="232" spans="1:15" s="50" customFormat="1" ht="27.75" customHeight="1">
      <c r="A232" s="538">
        <v>15</v>
      </c>
      <c r="B232" s="583" t="s">
        <v>184</v>
      </c>
      <c r="C232" s="559" t="s">
        <v>236</v>
      </c>
      <c r="D232" s="639" t="s">
        <v>185</v>
      </c>
      <c r="E232" s="639" t="s">
        <v>186</v>
      </c>
      <c r="F232" s="639" t="s">
        <v>187</v>
      </c>
      <c r="G232" s="560"/>
      <c r="H232" s="576">
        <v>682000</v>
      </c>
      <c r="I232" s="576">
        <v>0</v>
      </c>
      <c r="J232" s="576">
        <v>0</v>
      </c>
      <c r="K232" s="543">
        <f t="shared" si="12"/>
        <v>0</v>
      </c>
      <c r="L232" s="543">
        <f t="shared" si="13"/>
        <v>682000</v>
      </c>
    </row>
    <row r="233" spans="1:15" s="24" customFormat="1" ht="41.25" customHeight="1">
      <c r="A233" s="36" t="s">
        <v>18</v>
      </c>
      <c r="B233" s="40" t="s">
        <v>65</v>
      </c>
      <c r="C233" s="609" t="s">
        <v>188</v>
      </c>
      <c r="D233" s="178" t="s">
        <v>189</v>
      </c>
      <c r="E233" s="178" t="s">
        <v>190</v>
      </c>
      <c r="F233" s="178" t="s">
        <v>191</v>
      </c>
      <c r="G233" s="37"/>
      <c r="H233" s="10">
        <v>89100</v>
      </c>
      <c r="I233" s="10">
        <v>0</v>
      </c>
      <c r="J233" s="10">
        <v>0</v>
      </c>
      <c r="K233" s="34">
        <f t="shared" si="12"/>
        <v>0</v>
      </c>
      <c r="L233" s="34">
        <f t="shared" si="13"/>
        <v>89100</v>
      </c>
    </row>
    <row r="234" spans="1:15" s="24" customFormat="1" ht="45.75" customHeight="1">
      <c r="A234" s="36" t="s">
        <v>18</v>
      </c>
      <c r="B234" s="41" t="s">
        <v>192</v>
      </c>
      <c r="C234" s="609" t="s">
        <v>193</v>
      </c>
      <c r="D234" s="178" t="s">
        <v>194</v>
      </c>
      <c r="E234" s="178" t="s">
        <v>190</v>
      </c>
      <c r="F234" s="178" t="s">
        <v>195</v>
      </c>
      <c r="G234" s="37"/>
      <c r="H234" s="10">
        <v>85000</v>
      </c>
      <c r="I234" s="10">
        <v>0</v>
      </c>
      <c r="J234" s="10">
        <v>0</v>
      </c>
      <c r="K234" s="34">
        <f t="shared" si="12"/>
        <v>0</v>
      </c>
      <c r="L234" s="34">
        <f t="shared" si="13"/>
        <v>85000</v>
      </c>
      <c r="N234" s="1" t="s">
        <v>255</v>
      </c>
      <c r="O234" s="1" t="s">
        <v>256</v>
      </c>
    </row>
    <row r="235" spans="1:15" s="24" customFormat="1" ht="40.5" customHeight="1">
      <c r="A235" s="36" t="s">
        <v>18</v>
      </c>
      <c r="B235" s="40" t="s">
        <v>63</v>
      </c>
      <c r="C235" s="609" t="s">
        <v>196</v>
      </c>
      <c r="D235" s="178" t="s">
        <v>197</v>
      </c>
      <c r="E235" s="178" t="s">
        <v>190</v>
      </c>
      <c r="F235" s="178" t="s">
        <v>191</v>
      </c>
      <c r="G235" s="37"/>
      <c r="H235" s="10">
        <v>100000</v>
      </c>
      <c r="I235" s="10">
        <v>0</v>
      </c>
      <c r="J235" s="10">
        <v>0</v>
      </c>
      <c r="K235" s="34">
        <f t="shared" si="12"/>
        <v>0</v>
      </c>
      <c r="L235" s="34">
        <f t="shared" si="13"/>
        <v>100000</v>
      </c>
    </row>
    <row r="236" spans="1:15" s="24" customFormat="1" ht="39" customHeight="1">
      <c r="A236" s="36" t="s">
        <v>18</v>
      </c>
      <c r="B236" s="41" t="s">
        <v>198</v>
      </c>
      <c r="C236" s="609" t="s">
        <v>199</v>
      </c>
      <c r="D236" s="178" t="s">
        <v>200</v>
      </c>
      <c r="E236" s="178" t="s">
        <v>190</v>
      </c>
      <c r="F236" s="178" t="s">
        <v>191</v>
      </c>
      <c r="G236" s="37"/>
      <c r="H236" s="10">
        <v>147900</v>
      </c>
      <c r="I236" s="10">
        <v>0</v>
      </c>
      <c r="J236" s="10">
        <v>0</v>
      </c>
      <c r="K236" s="34">
        <f t="shared" si="12"/>
        <v>0</v>
      </c>
      <c r="L236" s="34">
        <f t="shared" si="13"/>
        <v>147900</v>
      </c>
      <c r="N236" s="1" t="s">
        <v>255</v>
      </c>
      <c r="O236" s="1" t="s">
        <v>256</v>
      </c>
    </row>
    <row r="237" spans="1:15" s="24" customFormat="1" ht="43.5" customHeight="1">
      <c r="A237" s="36" t="s">
        <v>18</v>
      </c>
      <c r="B237" s="40" t="s">
        <v>63</v>
      </c>
      <c r="C237" s="609" t="s">
        <v>201</v>
      </c>
      <c r="D237" s="178" t="s">
        <v>202</v>
      </c>
      <c r="E237" s="178" t="s">
        <v>190</v>
      </c>
      <c r="F237" s="178" t="s">
        <v>191</v>
      </c>
      <c r="G237" s="37"/>
      <c r="H237" s="10">
        <v>90000</v>
      </c>
      <c r="I237" s="10">
        <v>0</v>
      </c>
      <c r="J237" s="10">
        <v>0</v>
      </c>
      <c r="K237" s="34">
        <f t="shared" si="12"/>
        <v>0</v>
      </c>
      <c r="L237" s="34">
        <f t="shared" si="13"/>
        <v>90000</v>
      </c>
      <c r="N237" s="1" t="s">
        <v>255</v>
      </c>
      <c r="O237" s="1" t="s">
        <v>256</v>
      </c>
    </row>
    <row r="238" spans="1:15" s="24" customFormat="1" ht="39.75" customHeight="1">
      <c r="A238" s="36" t="s">
        <v>18</v>
      </c>
      <c r="B238" s="40" t="s">
        <v>105</v>
      </c>
      <c r="C238" s="609" t="s">
        <v>203</v>
      </c>
      <c r="D238" s="178"/>
      <c r="E238" s="178"/>
      <c r="F238" s="178"/>
      <c r="G238" s="37"/>
      <c r="H238" s="10">
        <v>170000</v>
      </c>
      <c r="I238" s="10">
        <v>0</v>
      </c>
      <c r="J238" s="10">
        <v>0</v>
      </c>
      <c r="K238" s="34">
        <f t="shared" si="12"/>
        <v>0</v>
      </c>
      <c r="L238" s="34">
        <f t="shared" si="13"/>
        <v>170000</v>
      </c>
      <c r="N238" s="1" t="s">
        <v>255</v>
      </c>
      <c r="O238" s="1" t="s">
        <v>256</v>
      </c>
    </row>
    <row r="239" spans="1:15" ht="44.25" customHeight="1">
      <c r="A239" s="538">
        <v>16</v>
      </c>
      <c r="B239" s="583" t="s">
        <v>204</v>
      </c>
      <c r="C239" s="559" t="s">
        <v>205</v>
      </c>
      <c r="D239" s="639" t="s">
        <v>206</v>
      </c>
      <c r="E239" s="639" t="s">
        <v>207</v>
      </c>
      <c r="F239" s="639">
        <v>3</v>
      </c>
      <c r="G239" s="560"/>
      <c r="H239" s="576">
        <v>100000</v>
      </c>
      <c r="I239" s="576">
        <v>0</v>
      </c>
      <c r="J239" s="576">
        <v>0</v>
      </c>
      <c r="K239" s="543">
        <f t="shared" si="12"/>
        <v>0</v>
      </c>
      <c r="L239" s="543">
        <f t="shared" si="13"/>
        <v>100000</v>
      </c>
      <c r="N239" s="1" t="s">
        <v>260</v>
      </c>
      <c r="O239" s="1" t="s">
        <v>261</v>
      </c>
    </row>
    <row r="240" spans="1:15" ht="70.5" customHeight="1">
      <c r="A240" s="538">
        <v>17</v>
      </c>
      <c r="B240" s="583" t="s">
        <v>204</v>
      </c>
      <c r="C240" s="559" t="s">
        <v>208</v>
      </c>
      <c r="D240" s="639" t="s">
        <v>209</v>
      </c>
      <c r="E240" s="639" t="s">
        <v>210</v>
      </c>
      <c r="F240" s="639" t="s">
        <v>211</v>
      </c>
      <c r="G240" s="560"/>
      <c r="H240" s="576">
        <v>100000</v>
      </c>
      <c r="I240" s="576">
        <v>0</v>
      </c>
      <c r="J240" s="576">
        <v>0</v>
      </c>
      <c r="K240" s="543">
        <f t="shared" si="12"/>
        <v>0</v>
      </c>
      <c r="L240" s="543">
        <f t="shared" si="13"/>
        <v>100000</v>
      </c>
      <c r="N240" s="1" t="s">
        <v>260</v>
      </c>
      <c r="O240" s="1" t="s">
        <v>261</v>
      </c>
    </row>
    <row r="241" spans="1:16" ht="43.5" customHeight="1">
      <c r="A241" s="538">
        <v>18</v>
      </c>
      <c r="B241" s="583" t="s">
        <v>263</v>
      </c>
      <c r="C241" s="559" t="s">
        <v>212</v>
      </c>
      <c r="D241" s="639" t="s">
        <v>213</v>
      </c>
      <c r="E241" s="639" t="s">
        <v>214</v>
      </c>
      <c r="F241" s="639">
        <v>1</v>
      </c>
      <c r="G241" s="560"/>
      <c r="H241" s="576">
        <v>100000</v>
      </c>
      <c r="I241" s="576">
        <v>0</v>
      </c>
      <c r="J241" s="576">
        <v>0</v>
      </c>
      <c r="K241" s="543">
        <f t="shared" si="12"/>
        <v>0</v>
      </c>
      <c r="L241" s="543">
        <f t="shared" si="13"/>
        <v>100000</v>
      </c>
      <c r="N241" s="1" t="s">
        <v>260</v>
      </c>
      <c r="O241" s="1" t="s">
        <v>261</v>
      </c>
    </row>
    <row r="242" spans="1:16" ht="24" customHeight="1">
      <c r="A242" s="538">
        <v>19</v>
      </c>
      <c r="B242" s="593" t="s">
        <v>262</v>
      </c>
      <c r="C242" s="559" t="s">
        <v>264</v>
      </c>
      <c r="D242" s="640" t="s">
        <v>213</v>
      </c>
      <c r="E242" s="640" t="s">
        <v>214</v>
      </c>
      <c r="F242" s="640">
        <v>1</v>
      </c>
      <c r="G242" s="560"/>
      <c r="H242" s="543">
        <v>40000</v>
      </c>
      <c r="I242" s="543">
        <v>0</v>
      </c>
      <c r="J242" s="543">
        <v>0</v>
      </c>
      <c r="K242" s="543">
        <f t="shared" si="12"/>
        <v>0</v>
      </c>
      <c r="L242" s="543">
        <f t="shared" si="13"/>
        <v>40000</v>
      </c>
      <c r="N242" s="1" t="s">
        <v>260</v>
      </c>
      <c r="O242" s="1" t="s">
        <v>261</v>
      </c>
    </row>
    <row r="243" spans="1:16" ht="42.75" customHeight="1">
      <c r="A243" s="538">
        <v>20</v>
      </c>
      <c r="B243" s="583" t="s">
        <v>215</v>
      </c>
      <c r="C243" s="559" t="s">
        <v>216</v>
      </c>
      <c r="D243" s="639"/>
      <c r="E243" s="639"/>
      <c r="F243" s="639"/>
      <c r="G243" s="560"/>
      <c r="H243" s="576">
        <v>294800</v>
      </c>
      <c r="I243" s="576">
        <v>0</v>
      </c>
      <c r="J243" s="576">
        <v>0</v>
      </c>
      <c r="K243" s="543">
        <f t="shared" si="12"/>
        <v>0</v>
      </c>
      <c r="L243" s="543">
        <f t="shared" si="13"/>
        <v>294800</v>
      </c>
      <c r="N243" s="1" t="s">
        <v>255</v>
      </c>
      <c r="O243" s="1" t="s">
        <v>256</v>
      </c>
    </row>
    <row r="244" spans="1:16" ht="48.75" customHeight="1">
      <c r="A244" s="538">
        <v>21</v>
      </c>
      <c r="B244" s="583" t="s">
        <v>217</v>
      </c>
      <c r="C244" s="559" t="s">
        <v>218</v>
      </c>
      <c r="D244" s="639"/>
      <c r="E244" s="639"/>
      <c r="F244" s="639"/>
      <c r="G244" s="560"/>
      <c r="H244" s="576">
        <v>297000</v>
      </c>
      <c r="I244" s="576">
        <v>0</v>
      </c>
      <c r="J244" s="576">
        <v>0</v>
      </c>
      <c r="K244" s="543">
        <f t="shared" si="12"/>
        <v>0</v>
      </c>
      <c r="L244" s="543">
        <f t="shared" si="13"/>
        <v>297000</v>
      </c>
      <c r="N244" s="1" t="s">
        <v>255</v>
      </c>
      <c r="O244" s="1" t="s">
        <v>256</v>
      </c>
    </row>
    <row r="245" spans="1:16" ht="87" customHeight="1">
      <c r="A245" s="538">
        <v>22</v>
      </c>
      <c r="B245" s="583" t="s">
        <v>219</v>
      </c>
      <c r="C245" s="559" t="s">
        <v>220</v>
      </c>
      <c r="D245" s="639"/>
      <c r="E245" s="639"/>
      <c r="F245" s="639"/>
      <c r="G245" s="560"/>
      <c r="H245" s="576">
        <v>297000</v>
      </c>
      <c r="I245" s="576">
        <v>0</v>
      </c>
      <c r="J245" s="576">
        <v>0</v>
      </c>
      <c r="K245" s="543">
        <f t="shared" si="12"/>
        <v>0</v>
      </c>
      <c r="L245" s="543">
        <f t="shared" si="13"/>
        <v>297000</v>
      </c>
      <c r="N245" s="1" t="s">
        <v>255</v>
      </c>
      <c r="O245" s="1" t="s">
        <v>256</v>
      </c>
    </row>
    <row r="246" spans="1:16" s="50" customFormat="1" ht="42">
      <c r="A246" s="538">
        <v>23</v>
      </c>
      <c r="B246" s="583" t="s">
        <v>57</v>
      </c>
      <c r="C246" s="559" t="s">
        <v>221</v>
      </c>
      <c r="D246" s="639"/>
      <c r="E246" s="639"/>
      <c r="F246" s="639"/>
      <c r="G246" s="560"/>
      <c r="H246" s="576">
        <v>0</v>
      </c>
      <c r="I246" s="576">
        <v>800000</v>
      </c>
      <c r="J246" s="576">
        <v>0</v>
      </c>
      <c r="K246" s="543">
        <f t="shared" si="12"/>
        <v>800000</v>
      </c>
      <c r="L246" s="543">
        <f t="shared" si="13"/>
        <v>800000</v>
      </c>
      <c r="N246" s="50" t="s">
        <v>258</v>
      </c>
      <c r="O246" s="50" t="s">
        <v>259</v>
      </c>
    </row>
    <row r="247" spans="1:16" s="50" customFormat="1" ht="45.75" customHeight="1">
      <c r="A247" s="623">
        <v>24</v>
      </c>
      <c r="B247" s="575" t="s">
        <v>105</v>
      </c>
      <c r="C247" s="559" t="s">
        <v>899</v>
      </c>
      <c r="D247" s="639"/>
      <c r="E247" s="639"/>
      <c r="F247" s="639"/>
      <c r="G247" s="560"/>
      <c r="H247" s="576">
        <v>0</v>
      </c>
      <c r="I247" s="576">
        <v>300000</v>
      </c>
      <c r="J247" s="576">
        <v>0</v>
      </c>
      <c r="K247" s="543">
        <f t="shared" si="12"/>
        <v>300000</v>
      </c>
      <c r="L247" s="543">
        <f t="shared" si="13"/>
        <v>300000</v>
      </c>
      <c r="N247" s="1" t="s">
        <v>255</v>
      </c>
      <c r="O247" s="1" t="s">
        <v>256</v>
      </c>
      <c r="P247" s="1"/>
    </row>
    <row r="248" spans="1:16" s="50" customFormat="1" ht="47.25" customHeight="1">
      <c r="A248" s="623">
        <v>25</v>
      </c>
      <c r="B248" s="575" t="s">
        <v>105</v>
      </c>
      <c r="C248" s="559" t="s">
        <v>898</v>
      </c>
      <c r="D248" s="639"/>
      <c r="E248" s="639"/>
      <c r="F248" s="639"/>
      <c r="G248" s="560"/>
      <c r="H248" s="576">
        <v>0</v>
      </c>
      <c r="I248" s="576">
        <v>300000</v>
      </c>
      <c r="J248" s="576">
        <v>0</v>
      </c>
      <c r="K248" s="543">
        <f t="shared" si="12"/>
        <v>300000</v>
      </c>
      <c r="L248" s="543">
        <f t="shared" si="13"/>
        <v>300000</v>
      </c>
      <c r="N248" s="1" t="s">
        <v>255</v>
      </c>
      <c r="O248" s="1" t="s">
        <v>305</v>
      </c>
      <c r="P248" s="1"/>
    </row>
    <row r="249" spans="1:16" s="50" customFormat="1" ht="42">
      <c r="A249" s="538">
        <v>26</v>
      </c>
      <c r="B249" s="583" t="s">
        <v>105</v>
      </c>
      <c r="C249" s="559" t="s">
        <v>237</v>
      </c>
      <c r="D249" s="639"/>
      <c r="E249" s="639"/>
      <c r="F249" s="639"/>
      <c r="G249" s="560"/>
      <c r="H249" s="576">
        <v>0</v>
      </c>
      <c r="I249" s="576">
        <f>G250</f>
        <v>250000</v>
      </c>
      <c r="J249" s="576">
        <v>0</v>
      </c>
      <c r="K249" s="543">
        <f t="shared" si="12"/>
        <v>250000</v>
      </c>
      <c r="L249" s="543">
        <f t="shared" si="13"/>
        <v>250000</v>
      </c>
      <c r="N249" s="50" t="s">
        <v>258</v>
      </c>
      <c r="O249" s="50" t="s">
        <v>259</v>
      </c>
    </row>
    <row r="250" spans="1:16" s="50" customFormat="1" ht="30" hidden="1" customHeight="1">
      <c r="A250" s="96" t="s">
        <v>18</v>
      </c>
      <c r="B250" s="97"/>
      <c r="C250" s="98" t="s">
        <v>222</v>
      </c>
      <c r="D250" s="98"/>
      <c r="E250" s="98"/>
      <c r="F250" s="98"/>
      <c r="G250" s="92">
        <v>250000</v>
      </c>
      <c r="H250" s="93"/>
      <c r="I250" s="93"/>
      <c r="J250" s="94"/>
      <c r="K250" s="34">
        <f t="shared" si="12"/>
        <v>0</v>
      </c>
      <c r="L250" s="34">
        <f t="shared" si="13"/>
        <v>0</v>
      </c>
    </row>
    <row r="251" spans="1:16" ht="15.75" customHeight="1"/>
    <row r="252" spans="1:16" ht="34.5" customHeight="1"/>
    <row r="253" spans="1:16" ht="15.75" customHeight="1"/>
    <row r="254" spans="1:16" ht="15.75" customHeight="1"/>
    <row r="255" spans="1:16" ht="15.75" customHeight="1"/>
    <row r="256" spans="1:16" ht="15.75" customHeight="1"/>
    <row r="257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5" ht="15.75" customHeight="1"/>
    <row r="266" ht="15.75" customHeight="1"/>
    <row r="268" ht="15.75" hidden="1" customHeight="1"/>
    <row r="269" ht="15.75" hidden="1" customHeight="1"/>
    <row r="270" ht="15.75" hidden="1" customHeight="1"/>
    <row r="271" ht="15.75" hidden="1" customHeight="1"/>
    <row r="272" ht="15.75" hidden="1" customHeight="1"/>
    <row r="274" ht="15.75" hidden="1" customHeight="1"/>
    <row r="275" ht="15.75" hidden="1" customHeight="1"/>
    <row r="277" ht="31.5" hidden="1" customHeight="1"/>
    <row r="279" ht="15.75" hidden="1" customHeight="1"/>
    <row r="280" ht="15.75" hidden="1" customHeight="1"/>
    <row r="281" ht="15.75" hidden="1" customHeight="1"/>
    <row r="282" ht="15.75" hidden="1" customHeight="1"/>
    <row r="283" ht="15.75" hidden="1" customHeight="1"/>
    <row r="285" ht="15.75" hidden="1" customHeight="1"/>
    <row r="286" ht="15.75" hidden="1" customHeight="1"/>
    <row r="288" ht="15.75" hidden="1" customHeight="1"/>
    <row r="289" ht="15.75" hidden="1" customHeight="1"/>
    <row r="291" ht="15.75" hidden="1" customHeight="1"/>
    <row r="292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7" ht="15.75" hidden="1" customHeight="1"/>
    <row r="308" ht="15.75" hidden="1" customHeight="1"/>
    <row r="310" ht="15.75" hidden="1" customHeight="1"/>
    <row r="311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1" ht="15.75" hidden="1" customHeight="1"/>
    <row r="353" ht="15.75" hidden="1" customHeight="1"/>
    <row r="355" ht="15.75" hidden="1" customHeight="1"/>
    <row r="357" ht="15.75" hidden="1" customHeight="1"/>
    <row r="359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55.5" hidden="1" customHeight="1"/>
    <row r="368" ht="34.5" hidden="1" customHeight="1"/>
    <row r="369" ht="31.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34.5" customHeight="1"/>
    <row r="378" ht="31.5" hidden="1" customHeight="1"/>
    <row r="379" ht="31.5" hidden="1" customHeight="1"/>
    <row r="380" ht="31.5" hidden="1" customHeight="1"/>
    <row r="381" ht="31.5" hidden="1" customHeight="1"/>
    <row r="382" ht="34.5" customHeight="1"/>
    <row r="383" ht="15.75" hidden="1" customHeight="1"/>
    <row r="384" ht="15.75" hidden="1" customHeight="1"/>
    <row r="385" ht="15.75" hidden="1" customHeight="1"/>
    <row r="386" ht="51.75" customHeight="1"/>
    <row r="387" ht="15.75" hidden="1" customHeight="1"/>
    <row r="388" ht="15.75" hidden="1" customHeight="1"/>
    <row r="389" ht="15.75" hidden="1" customHeight="1"/>
    <row r="390" ht="75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51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34.5" hidden="1" customHeight="1"/>
    <row r="403" ht="15.75" hidden="1" customHeight="1"/>
    <row r="404" ht="15.75" hidden="1" customHeight="1"/>
    <row r="405" ht="15.75" hidden="1" customHeight="1"/>
    <row r="406" ht="37.5" customHeight="1"/>
    <row r="407" ht="15.75" hidden="1" customHeight="1"/>
    <row r="408" ht="15.75" hidden="1" customHeight="1"/>
    <row r="409" ht="43.5" customHeight="1"/>
    <row r="410" ht="31.5" hidden="1" customHeight="1"/>
    <row r="411" ht="34.5" customHeight="1"/>
    <row r="412" ht="15.75" hidden="1" customHeight="1"/>
    <row r="413" ht="15.75" hidden="1" customHeight="1"/>
    <row r="414" ht="15.75" hidden="1" customHeight="1"/>
    <row r="415" ht="51.75" hidden="1" customHeight="1"/>
    <row r="416" ht="15.75" hidden="1" customHeight="1"/>
    <row r="418" ht="15.75" hidden="1" customHeight="1"/>
    <row r="419" ht="34.5" hidden="1" customHeight="1"/>
    <row r="420" ht="34.5" hidden="1" customHeight="1"/>
    <row r="421" ht="51.75" hidden="1" customHeight="1"/>
    <row r="422" ht="34.5" hidden="1" customHeight="1"/>
    <row r="424" ht="15.75" hidden="1" customHeight="1"/>
    <row r="425" ht="31.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59.25" customHeight="1"/>
    <row r="431" ht="15.75" hidden="1" customHeight="1"/>
    <row r="432" ht="21" hidden="1" customHeight="1"/>
    <row r="433" ht="15.75" hidden="1" customHeight="1"/>
    <row r="434" ht="15.75" hidden="1" customHeight="1"/>
    <row r="435" ht="34.5" hidden="1" customHeight="1"/>
    <row r="436" ht="31.5" hidden="1" customHeight="1"/>
    <row r="437" ht="21" hidden="1" customHeight="1"/>
    <row r="438" ht="31.5" hidden="1" customHeight="1"/>
    <row r="439" ht="15.75" hidden="1" customHeight="1"/>
    <row r="440" ht="31.5" hidden="1" customHeight="1"/>
    <row r="441" ht="21" hidden="1" customHeight="1"/>
    <row r="442" ht="31.5" hidden="1" customHeight="1"/>
    <row r="443" ht="31.5" hidden="1" customHeight="1"/>
    <row r="444" ht="15.75" hidden="1" customHeight="1"/>
    <row r="445" ht="15.75" hidden="1" customHeight="1"/>
    <row r="446" ht="34.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31.5" hidden="1" customHeight="1"/>
    <row r="452" ht="15.75" hidden="1" customHeight="1"/>
    <row r="453" ht="15.75" hidden="1" customHeight="1"/>
    <row r="454" ht="15.75" hidden="1" customHeight="1"/>
    <row r="455" ht="15.75" hidden="1" customHeight="1"/>
    <row r="457" ht="31.5" hidden="1" customHeight="1"/>
    <row r="458" ht="31.5" hidden="1" customHeight="1"/>
    <row r="459" ht="54" customHeight="1"/>
    <row r="460" ht="21" hidden="1" customHeight="1"/>
    <row r="461" ht="42" customHeight="1"/>
    <row r="462" ht="15.75" hidden="1" customHeight="1"/>
    <row r="463" ht="31.5" hidden="1" customHeight="1"/>
    <row r="466" ht="31.5" hidden="1" customHeight="1"/>
    <row r="467" ht="31.5" hidden="1" customHeight="1"/>
    <row r="469" ht="17.25" hidden="1" customHeight="1"/>
    <row r="470" ht="17.25" hidden="1" customHeight="1"/>
    <row r="471" ht="51.75" hidden="1" customHeight="1"/>
    <row r="473" ht="31.5" hidden="1" customHeight="1"/>
    <row r="474" ht="34.5" hidden="1" customHeight="1"/>
    <row r="475" ht="31.5" hidden="1" customHeight="1"/>
    <row r="476" ht="40.5" customHeight="1"/>
    <row r="477" ht="31.5" hidden="1" customHeight="1"/>
    <row r="478" ht="31.5" hidden="1" customHeight="1"/>
    <row r="482" ht="15.75" hidden="1" customHeight="1"/>
    <row r="484" ht="31.5" hidden="1" customHeight="1"/>
    <row r="485" ht="37.5" hidden="1" customHeight="1"/>
    <row r="486" ht="21" hidden="1" customHeight="1"/>
    <row r="488" ht="21" hidden="1" customHeight="1"/>
    <row r="489" ht="43.5" customHeight="1"/>
    <row r="490" ht="21" hidden="1" customHeight="1"/>
    <row r="491" ht="75" hidden="1" customHeight="1"/>
    <row r="492" ht="21" hidden="1" customHeight="1"/>
    <row r="493" ht="37.5" customHeight="1"/>
    <row r="494" ht="21" hidden="1" customHeight="1"/>
    <row r="497" ht="21" hidden="1" customHeight="1"/>
    <row r="499" ht="21" hidden="1" customHeight="1"/>
    <row r="508" ht="21" hidden="1" customHeight="1"/>
    <row r="510" ht="21" hidden="1" customHeight="1"/>
    <row r="516" ht="34.5" hidden="1" customHeight="1"/>
    <row r="518" ht="45.75" customHeight="1"/>
    <row r="519" ht="25.5" customHeight="1"/>
    <row r="520" ht="46.5" customHeight="1"/>
    <row r="521" ht="69" customHeight="1"/>
    <row r="522" ht="41.25" customHeight="1"/>
    <row r="523" ht="39" customHeight="1"/>
    <row r="524" ht="48.75" customHeight="1"/>
    <row r="525" ht="42" customHeight="1"/>
    <row r="526" ht="42.75" customHeight="1"/>
    <row r="528" ht="49.5" customHeight="1"/>
    <row r="529" ht="70.5" customHeight="1"/>
    <row r="530" ht="48.75" customHeight="1"/>
    <row r="531" ht="48.75" customHeight="1"/>
    <row r="539" ht="21" hidden="1" customHeight="1"/>
  </sheetData>
  <mergeCells count="23">
    <mergeCell ref="E22:E29"/>
    <mergeCell ref="F22:F29"/>
    <mergeCell ref="A3:A4"/>
    <mergeCell ref="B3:B4"/>
    <mergeCell ref="C3:C4"/>
    <mergeCell ref="D3:D4"/>
    <mergeCell ref="E3:E4"/>
    <mergeCell ref="A1:L1"/>
    <mergeCell ref="D204:D205"/>
    <mergeCell ref="E204:E205"/>
    <mergeCell ref="F204:F205"/>
    <mergeCell ref="D93:D94"/>
    <mergeCell ref="E93:E94"/>
    <mergeCell ref="F93:F94"/>
    <mergeCell ref="D96:D100"/>
    <mergeCell ref="E96:E100"/>
    <mergeCell ref="F96:F100"/>
    <mergeCell ref="G3:G4"/>
    <mergeCell ref="H3:H4"/>
    <mergeCell ref="I3:K3"/>
    <mergeCell ref="L3:L4"/>
    <mergeCell ref="F3:F4"/>
    <mergeCell ref="D22:D29"/>
  </mergeCells>
  <printOptions horizontalCentered="1"/>
  <pageMargins left="0.2" right="0.2" top="0.75" bottom="0.75" header="0.3" footer="0.3"/>
  <pageSetup paperSize="9" scale="65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40"/>
  <sheetViews>
    <sheetView tabSelected="1" topLeftCell="A3" zoomScale="85" zoomScaleNormal="85" workbookViewId="0">
      <pane ySplit="3" topLeftCell="A6" activePane="bottomLeft" state="frozen"/>
      <selection activeCell="A3" sqref="A3"/>
      <selection pane="bottomLeft" activeCell="A6" sqref="A6"/>
    </sheetView>
  </sheetViews>
  <sheetFormatPr defaultRowHeight="21"/>
  <cols>
    <col min="1" max="1" width="7.85546875" style="377" customWidth="1"/>
    <col min="2" max="2" width="13.28515625" style="378" customWidth="1"/>
    <col min="3" max="3" width="21.42578125" style="367" customWidth="1"/>
    <col min="4" max="4" width="20.28515625" style="367" customWidth="1"/>
    <col min="5" max="5" width="16.85546875" style="367" customWidth="1"/>
    <col min="6" max="6" width="19.28515625" style="367" customWidth="1"/>
    <col min="7" max="8" width="10.7109375" style="367" customWidth="1"/>
    <col min="9" max="9" width="10" style="367" customWidth="1"/>
    <col min="10" max="10" width="10.7109375" style="367" customWidth="1"/>
    <col min="11" max="11" width="12.85546875" style="367" customWidth="1"/>
    <col min="12" max="12" width="11.42578125" style="367" customWidth="1"/>
    <col min="13" max="13" width="10.42578125" style="367" customWidth="1"/>
    <col min="14" max="14" width="11.5703125" style="367" customWidth="1"/>
    <col min="15" max="15" width="11.28515625" style="367" customWidth="1"/>
    <col min="16" max="16" width="11.7109375" style="367" customWidth="1"/>
    <col min="17" max="17" width="12" style="367" customWidth="1"/>
    <col min="18" max="18" width="11.7109375" style="367" customWidth="1"/>
    <col min="19" max="20" width="12" style="367" customWidth="1"/>
    <col min="21" max="21" width="13.85546875" style="367" customWidth="1"/>
    <col min="22" max="22" width="14.28515625" style="367" customWidth="1"/>
    <col min="23" max="256" width="9.140625" style="367"/>
    <col min="257" max="257" width="7.85546875" style="367" customWidth="1"/>
    <col min="258" max="258" width="13.28515625" style="367" customWidth="1"/>
    <col min="259" max="259" width="21.42578125" style="367" customWidth="1"/>
    <col min="260" max="260" width="20.28515625" style="367" customWidth="1"/>
    <col min="261" max="261" width="16.85546875" style="367" customWidth="1"/>
    <col min="262" max="262" width="19.28515625" style="367" customWidth="1"/>
    <col min="263" max="264" width="10.7109375" style="367" customWidth="1"/>
    <col min="265" max="265" width="10" style="367" customWidth="1"/>
    <col min="266" max="266" width="10.7109375" style="367" customWidth="1"/>
    <col min="267" max="267" width="12.85546875" style="367" customWidth="1"/>
    <col min="268" max="268" width="11.42578125" style="367" customWidth="1"/>
    <col min="269" max="269" width="9.28515625" style="367" customWidth="1"/>
    <col min="270" max="270" width="11.5703125" style="367" customWidth="1"/>
    <col min="271" max="271" width="11.28515625" style="367" customWidth="1"/>
    <col min="272" max="272" width="11.7109375" style="367" customWidth="1"/>
    <col min="273" max="273" width="12" style="367" customWidth="1"/>
    <col min="274" max="274" width="11.7109375" style="367" customWidth="1"/>
    <col min="275" max="276" width="12" style="367" customWidth="1"/>
    <col min="277" max="277" width="13.85546875" style="367" customWidth="1"/>
    <col min="278" max="278" width="14.28515625" style="367" customWidth="1"/>
    <col min="279" max="512" width="9.140625" style="367"/>
    <col min="513" max="513" width="7.85546875" style="367" customWidth="1"/>
    <col min="514" max="514" width="13.28515625" style="367" customWidth="1"/>
    <col min="515" max="515" width="21.42578125" style="367" customWidth="1"/>
    <col min="516" max="516" width="20.28515625" style="367" customWidth="1"/>
    <col min="517" max="517" width="16.85546875" style="367" customWidth="1"/>
    <col min="518" max="518" width="19.28515625" style="367" customWidth="1"/>
    <col min="519" max="520" width="10.7109375" style="367" customWidth="1"/>
    <col min="521" max="521" width="10" style="367" customWidth="1"/>
    <col min="522" max="522" width="10.7109375" style="367" customWidth="1"/>
    <col min="523" max="523" width="12.85546875" style="367" customWidth="1"/>
    <col min="524" max="524" width="11.42578125" style="367" customWidth="1"/>
    <col min="525" max="525" width="9.28515625" style="367" customWidth="1"/>
    <col min="526" max="526" width="11.5703125" style="367" customWidth="1"/>
    <col min="527" max="527" width="11.28515625" style="367" customWidth="1"/>
    <col min="528" max="528" width="11.7109375" style="367" customWidth="1"/>
    <col min="529" max="529" width="12" style="367" customWidth="1"/>
    <col min="530" max="530" width="11.7109375" style="367" customWidth="1"/>
    <col min="531" max="532" width="12" style="367" customWidth="1"/>
    <col min="533" max="533" width="13.85546875" style="367" customWidth="1"/>
    <col min="534" max="534" width="14.28515625" style="367" customWidth="1"/>
    <col min="535" max="768" width="9.140625" style="367"/>
    <col min="769" max="769" width="7.85546875" style="367" customWidth="1"/>
    <col min="770" max="770" width="13.28515625" style="367" customWidth="1"/>
    <col min="771" max="771" width="21.42578125" style="367" customWidth="1"/>
    <col min="772" max="772" width="20.28515625" style="367" customWidth="1"/>
    <col min="773" max="773" width="16.85546875" style="367" customWidth="1"/>
    <col min="774" max="774" width="19.28515625" style="367" customWidth="1"/>
    <col min="775" max="776" width="10.7109375" style="367" customWidth="1"/>
    <col min="777" max="777" width="10" style="367" customWidth="1"/>
    <col min="778" max="778" width="10.7109375" style="367" customWidth="1"/>
    <col min="779" max="779" width="12.85546875" style="367" customWidth="1"/>
    <col min="780" max="780" width="11.42578125" style="367" customWidth="1"/>
    <col min="781" max="781" width="9.28515625" style="367" customWidth="1"/>
    <col min="782" max="782" width="11.5703125" style="367" customWidth="1"/>
    <col min="783" max="783" width="11.28515625" style="367" customWidth="1"/>
    <col min="784" max="784" width="11.7109375" style="367" customWidth="1"/>
    <col min="785" max="785" width="12" style="367" customWidth="1"/>
    <col min="786" max="786" width="11.7109375" style="367" customWidth="1"/>
    <col min="787" max="788" width="12" style="367" customWidth="1"/>
    <col min="789" max="789" width="13.85546875" style="367" customWidth="1"/>
    <col min="790" max="790" width="14.28515625" style="367" customWidth="1"/>
    <col min="791" max="1024" width="9.140625" style="367"/>
    <col min="1025" max="1025" width="7.85546875" style="367" customWidth="1"/>
    <col min="1026" max="1026" width="13.28515625" style="367" customWidth="1"/>
    <col min="1027" max="1027" width="21.42578125" style="367" customWidth="1"/>
    <col min="1028" max="1028" width="20.28515625" style="367" customWidth="1"/>
    <col min="1029" max="1029" width="16.85546875" style="367" customWidth="1"/>
    <col min="1030" max="1030" width="19.28515625" style="367" customWidth="1"/>
    <col min="1031" max="1032" width="10.7109375" style="367" customWidth="1"/>
    <col min="1033" max="1033" width="10" style="367" customWidth="1"/>
    <col min="1034" max="1034" width="10.7109375" style="367" customWidth="1"/>
    <col min="1035" max="1035" width="12.85546875" style="367" customWidth="1"/>
    <col min="1036" max="1036" width="11.42578125" style="367" customWidth="1"/>
    <col min="1037" max="1037" width="9.28515625" style="367" customWidth="1"/>
    <col min="1038" max="1038" width="11.5703125" style="367" customWidth="1"/>
    <col min="1039" max="1039" width="11.28515625" style="367" customWidth="1"/>
    <col min="1040" max="1040" width="11.7109375" style="367" customWidth="1"/>
    <col min="1041" max="1041" width="12" style="367" customWidth="1"/>
    <col min="1042" max="1042" width="11.7109375" style="367" customWidth="1"/>
    <col min="1043" max="1044" width="12" style="367" customWidth="1"/>
    <col min="1045" max="1045" width="13.85546875" style="367" customWidth="1"/>
    <col min="1046" max="1046" width="14.28515625" style="367" customWidth="1"/>
    <col min="1047" max="1280" width="9.140625" style="367"/>
    <col min="1281" max="1281" width="7.85546875" style="367" customWidth="1"/>
    <col min="1282" max="1282" width="13.28515625" style="367" customWidth="1"/>
    <col min="1283" max="1283" width="21.42578125" style="367" customWidth="1"/>
    <col min="1284" max="1284" width="20.28515625" style="367" customWidth="1"/>
    <col min="1285" max="1285" width="16.85546875" style="367" customWidth="1"/>
    <col min="1286" max="1286" width="19.28515625" style="367" customWidth="1"/>
    <col min="1287" max="1288" width="10.7109375" style="367" customWidth="1"/>
    <col min="1289" max="1289" width="10" style="367" customWidth="1"/>
    <col min="1290" max="1290" width="10.7109375" style="367" customWidth="1"/>
    <col min="1291" max="1291" width="12.85546875" style="367" customWidth="1"/>
    <col min="1292" max="1292" width="11.42578125" style="367" customWidth="1"/>
    <col min="1293" max="1293" width="9.28515625" style="367" customWidth="1"/>
    <col min="1294" max="1294" width="11.5703125" style="367" customWidth="1"/>
    <col min="1295" max="1295" width="11.28515625" style="367" customWidth="1"/>
    <col min="1296" max="1296" width="11.7109375" style="367" customWidth="1"/>
    <col min="1297" max="1297" width="12" style="367" customWidth="1"/>
    <col min="1298" max="1298" width="11.7109375" style="367" customWidth="1"/>
    <col min="1299" max="1300" width="12" style="367" customWidth="1"/>
    <col min="1301" max="1301" width="13.85546875" style="367" customWidth="1"/>
    <col min="1302" max="1302" width="14.28515625" style="367" customWidth="1"/>
    <col min="1303" max="1536" width="9.140625" style="367"/>
    <col min="1537" max="1537" width="7.85546875" style="367" customWidth="1"/>
    <col min="1538" max="1538" width="13.28515625" style="367" customWidth="1"/>
    <col min="1539" max="1539" width="21.42578125" style="367" customWidth="1"/>
    <col min="1540" max="1540" width="20.28515625" style="367" customWidth="1"/>
    <col min="1541" max="1541" width="16.85546875" style="367" customWidth="1"/>
    <col min="1542" max="1542" width="19.28515625" style="367" customWidth="1"/>
    <col min="1543" max="1544" width="10.7109375" style="367" customWidth="1"/>
    <col min="1545" max="1545" width="10" style="367" customWidth="1"/>
    <col min="1546" max="1546" width="10.7109375" style="367" customWidth="1"/>
    <col min="1547" max="1547" width="12.85546875" style="367" customWidth="1"/>
    <col min="1548" max="1548" width="11.42578125" style="367" customWidth="1"/>
    <col min="1549" max="1549" width="9.28515625" style="367" customWidth="1"/>
    <col min="1550" max="1550" width="11.5703125" style="367" customWidth="1"/>
    <col min="1551" max="1551" width="11.28515625" style="367" customWidth="1"/>
    <col min="1552" max="1552" width="11.7109375" style="367" customWidth="1"/>
    <col min="1553" max="1553" width="12" style="367" customWidth="1"/>
    <col min="1554" max="1554" width="11.7109375" style="367" customWidth="1"/>
    <col min="1555" max="1556" width="12" style="367" customWidth="1"/>
    <col min="1557" max="1557" width="13.85546875" style="367" customWidth="1"/>
    <col min="1558" max="1558" width="14.28515625" style="367" customWidth="1"/>
    <col min="1559" max="1792" width="9.140625" style="367"/>
    <col min="1793" max="1793" width="7.85546875" style="367" customWidth="1"/>
    <col min="1794" max="1794" width="13.28515625" style="367" customWidth="1"/>
    <col min="1795" max="1795" width="21.42578125" style="367" customWidth="1"/>
    <col min="1796" max="1796" width="20.28515625" style="367" customWidth="1"/>
    <col min="1797" max="1797" width="16.85546875" style="367" customWidth="1"/>
    <col min="1798" max="1798" width="19.28515625" style="367" customWidth="1"/>
    <col min="1799" max="1800" width="10.7109375" style="367" customWidth="1"/>
    <col min="1801" max="1801" width="10" style="367" customWidth="1"/>
    <col min="1802" max="1802" width="10.7109375" style="367" customWidth="1"/>
    <col min="1803" max="1803" width="12.85546875" style="367" customWidth="1"/>
    <col min="1804" max="1804" width="11.42578125" style="367" customWidth="1"/>
    <col min="1805" max="1805" width="9.28515625" style="367" customWidth="1"/>
    <col min="1806" max="1806" width="11.5703125" style="367" customWidth="1"/>
    <col min="1807" max="1807" width="11.28515625" style="367" customWidth="1"/>
    <col min="1808" max="1808" width="11.7109375" style="367" customWidth="1"/>
    <col min="1809" max="1809" width="12" style="367" customWidth="1"/>
    <col min="1810" max="1810" width="11.7109375" style="367" customWidth="1"/>
    <col min="1811" max="1812" width="12" style="367" customWidth="1"/>
    <col min="1813" max="1813" width="13.85546875" style="367" customWidth="1"/>
    <col min="1814" max="1814" width="14.28515625" style="367" customWidth="1"/>
    <col min="1815" max="2048" width="9.140625" style="367"/>
    <col min="2049" max="2049" width="7.85546875" style="367" customWidth="1"/>
    <col min="2050" max="2050" width="13.28515625" style="367" customWidth="1"/>
    <col min="2051" max="2051" width="21.42578125" style="367" customWidth="1"/>
    <col min="2052" max="2052" width="20.28515625" style="367" customWidth="1"/>
    <col min="2053" max="2053" width="16.85546875" style="367" customWidth="1"/>
    <col min="2054" max="2054" width="19.28515625" style="367" customWidth="1"/>
    <col min="2055" max="2056" width="10.7109375" style="367" customWidth="1"/>
    <col min="2057" max="2057" width="10" style="367" customWidth="1"/>
    <col min="2058" max="2058" width="10.7109375" style="367" customWidth="1"/>
    <col min="2059" max="2059" width="12.85546875" style="367" customWidth="1"/>
    <col min="2060" max="2060" width="11.42578125" style="367" customWidth="1"/>
    <col min="2061" max="2061" width="9.28515625" style="367" customWidth="1"/>
    <col min="2062" max="2062" width="11.5703125" style="367" customWidth="1"/>
    <col min="2063" max="2063" width="11.28515625" style="367" customWidth="1"/>
    <col min="2064" max="2064" width="11.7109375" style="367" customWidth="1"/>
    <col min="2065" max="2065" width="12" style="367" customWidth="1"/>
    <col min="2066" max="2066" width="11.7109375" style="367" customWidth="1"/>
    <col min="2067" max="2068" width="12" style="367" customWidth="1"/>
    <col min="2069" max="2069" width="13.85546875" style="367" customWidth="1"/>
    <col min="2070" max="2070" width="14.28515625" style="367" customWidth="1"/>
    <col min="2071" max="2304" width="9.140625" style="367"/>
    <col min="2305" max="2305" width="7.85546875" style="367" customWidth="1"/>
    <col min="2306" max="2306" width="13.28515625" style="367" customWidth="1"/>
    <col min="2307" max="2307" width="21.42578125" style="367" customWidth="1"/>
    <col min="2308" max="2308" width="20.28515625" style="367" customWidth="1"/>
    <col min="2309" max="2309" width="16.85546875" style="367" customWidth="1"/>
    <col min="2310" max="2310" width="19.28515625" style="367" customWidth="1"/>
    <col min="2311" max="2312" width="10.7109375" style="367" customWidth="1"/>
    <col min="2313" max="2313" width="10" style="367" customWidth="1"/>
    <col min="2314" max="2314" width="10.7109375" style="367" customWidth="1"/>
    <col min="2315" max="2315" width="12.85546875" style="367" customWidth="1"/>
    <col min="2316" max="2316" width="11.42578125" style="367" customWidth="1"/>
    <col min="2317" max="2317" width="9.28515625" style="367" customWidth="1"/>
    <col min="2318" max="2318" width="11.5703125" style="367" customWidth="1"/>
    <col min="2319" max="2319" width="11.28515625" style="367" customWidth="1"/>
    <col min="2320" max="2320" width="11.7109375" style="367" customWidth="1"/>
    <col min="2321" max="2321" width="12" style="367" customWidth="1"/>
    <col min="2322" max="2322" width="11.7109375" style="367" customWidth="1"/>
    <col min="2323" max="2324" width="12" style="367" customWidth="1"/>
    <col min="2325" max="2325" width="13.85546875" style="367" customWidth="1"/>
    <col min="2326" max="2326" width="14.28515625" style="367" customWidth="1"/>
    <col min="2327" max="2560" width="9.140625" style="367"/>
    <col min="2561" max="2561" width="7.85546875" style="367" customWidth="1"/>
    <col min="2562" max="2562" width="13.28515625" style="367" customWidth="1"/>
    <col min="2563" max="2563" width="21.42578125" style="367" customWidth="1"/>
    <col min="2564" max="2564" width="20.28515625" style="367" customWidth="1"/>
    <col min="2565" max="2565" width="16.85546875" style="367" customWidth="1"/>
    <col min="2566" max="2566" width="19.28515625" style="367" customWidth="1"/>
    <col min="2567" max="2568" width="10.7109375" style="367" customWidth="1"/>
    <col min="2569" max="2569" width="10" style="367" customWidth="1"/>
    <col min="2570" max="2570" width="10.7109375" style="367" customWidth="1"/>
    <col min="2571" max="2571" width="12.85546875" style="367" customWidth="1"/>
    <col min="2572" max="2572" width="11.42578125" style="367" customWidth="1"/>
    <col min="2573" max="2573" width="9.28515625" style="367" customWidth="1"/>
    <col min="2574" max="2574" width="11.5703125" style="367" customWidth="1"/>
    <col min="2575" max="2575" width="11.28515625" style="367" customWidth="1"/>
    <col min="2576" max="2576" width="11.7109375" style="367" customWidth="1"/>
    <col min="2577" max="2577" width="12" style="367" customWidth="1"/>
    <col min="2578" max="2578" width="11.7109375" style="367" customWidth="1"/>
    <col min="2579" max="2580" width="12" style="367" customWidth="1"/>
    <col min="2581" max="2581" width="13.85546875" style="367" customWidth="1"/>
    <col min="2582" max="2582" width="14.28515625" style="367" customWidth="1"/>
    <col min="2583" max="2816" width="9.140625" style="367"/>
    <col min="2817" max="2817" width="7.85546875" style="367" customWidth="1"/>
    <col min="2818" max="2818" width="13.28515625" style="367" customWidth="1"/>
    <col min="2819" max="2819" width="21.42578125" style="367" customWidth="1"/>
    <col min="2820" max="2820" width="20.28515625" style="367" customWidth="1"/>
    <col min="2821" max="2821" width="16.85546875" style="367" customWidth="1"/>
    <col min="2822" max="2822" width="19.28515625" style="367" customWidth="1"/>
    <col min="2823" max="2824" width="10.7109375" style="367" customWidth="1"/>
    <col min="2825" max="2825" width="10" style="367" customWidth="1"/>
    <col min="2826" max="2826" width="10.7109375" style="367" customWidth="1"/>
    <col min="2827" max="2827" width="12.85546875" style="367" customWidth="1"/>
    <col min="2828" max="2828" width="11.42578125" style="367" customWidth="1"/>
    <col min="2829" max="2829" width="9.28515625" style="367" customWidth="1"/>
    <col min="2830" max="2830" width="11.5703125" style="367" customWidth="1"/>
    <col min="2831" max="2831" width="11.28515625" style="367" customWidth="1"/>
    <col min="2832" max="2832" width="11.7109375" style="367" customWidth="1"/>
    <col min="2833" max="2833" width="12" style="367" customWidth="1"/>
    <col min="2834" max="2834" width="11.7109375" style="367" customWidth="1"/>
    <col min="2835" max="2836" width="12" style="367" customWidth="1"/>
    <col min="2837" max="2837" width="13.85546875" style="367" customWidth="1"/>
    <col min="2838" max="2838" width="14.28515625" style="367" customWidth="1"/>
    <col min="2839" max="3072" width="9.140625" style="367"/>
    <col min="3073" max="3073" width="7.85546875" style="367" customWidth="1"/>
    <col min="3074" max="3074" width="13.28515625" style="367" customWidth="1"/>
    <col min="3075" max="3075" width="21.42578125" style="367" customWidth="1"/>
    <col min="3076" max="3076" width="20.28515625" style="367" customWidth="1"/>
    <col min="3077" max="3077" width="16.85546875" style="367" customWidth="1"/>
    <col min="3078" max="3078" width="19.28515625" style="367" customWidth="1"/>
    <col min="3079" max="3080" width="10.7109375" style="367" customWidth="1"/>
    <col min="3081" max="3081" width="10" style="367" customWidth="1"/>
    <col min="3082" max="3082" width="10.7109375" style="367" customWidth="1"/>
    <col min="3083" max="3083" width="12.85546875" style="367" customWidth="1"/>
    <col min="3084" max="3084" width="11.42578125" style="367" customWidth="1"/>
    <col min="3085" max="3085" width="9.28515625" style="367" customWidth="1"/>
    <col min="3086" max="3086" width="11.5703125" style="367" customWidth="1"/>
    <col min="3087" max="3087" width="11.28515625" style="367" customWidth="1"/>
    <col min="3088" max="3088" width="11.7109375" style="367" customWidth="1"/>
    <col min="3089" max="3089" width="12" style="367" customWidth="1"/>
    <col min="3090" max="3090" width="11.7109375" style="367" customWidth="1"/>
    <col min="3091" max="3092" width="12" style="367" customWidth="1"/>
    <col min="3093" max="3093" width="13.85546875" style="367" customWidth="1"/>
    <col min="3094" max="3094" width="14.28515625" style="367" customWidth="1"/>
    <col min="3095" max="3328" width="9.140625" style="367"/>
    <col min="3329" max="3329" width="7.85546875" style="367" customWidth="1"/>
    <col min="3330" max="3330" width="13.28515625" style="367" customWidth="1"/>
    <col min="3331" max="3331" width="21.42578125" style="367" customWidth="1"/>
    <col min="3332" max="3332" width="20.28515625" style="367" customWidth="1"/>
    <col min="3333" max="3333" width="16.85546875" style="367" customWidth="1"/>
    <col min="3334" max="3334" width="19.28515625" style="367" customWidth="1"/>
    <col min="3335" max="3336" width="10.7109375" style="367" customWidth="1"/>
    <col min="3337" max="3337" width="10" style="367" customWidth="1"/>
    <col min="3338" max="3338" width="10.7109375" style="367" customWidth="1"/>
    <col min="3339" max="3339" width="12.85546875" style="367" customWidth="1"/>
    <col min="3340" max="3340" width="11.42578125" style="367" customWidth="1"/>
    <col min="3341" max="3341" width="9.28515625" style="367" customWidth="1"/>
    <col min="3342" max="3342" width="11.5703125" style="367" customWidth="1"/>
    <col min="3343" max="3343" width="11.28515625" style="367" customWidth="1"/>
    <col min="3344" max="3344" width="11.7109375" style="367" customWidth="1"/>
    <col min="3345" max="3345" width="12" style="367" customWidth="1"/>
    <col min="3346" max="3346" width="11.7109375" style="367" customWidth="1"/>
    <col min="3347" max="3348" width="12" style="367" customWidth="1"/>
    <col min="3349" max="3349" width="13.85546875" style="367" customWidth="1"/>
    <col min="3350" max="3350" width="14.28515625" style="367" customWidth="1"/>
    <col min="3351" max="3584" width="9.140625" style="367"/>
    <col min="3585" max="3585" width="7.85546875" style="367" customWidth="1"/>
    <col min="3586" max="3586" width="13.28515625" style="367" customWidth="1"/>
    <col min="3587" max="3587" width="21.42578125" style="367" customWidth="1"/>
    <col min="3588" max="3588" width="20.28515625" style="367" customWidth="1"/>
    <col min="3589" max="3589" width="16.85546875" style="367" customWidth="1"/>
    <col min="3590" max="3590" width="19.28515625" style="367" customWidth="1"/>
    <col min="3591" max="3592" width="10.7109375" style="367" customWidth="1"/>
    <col min="3593" max="3593" width="10" style="367" customWidth="1"/>
    <col min="3594" max="3594" width="10.7109375" style="367" customWidth="1"/>
    <col min="3595" max="3595" width="12.85546875" style="367" customWidth="1"/>
    <col min="3596" max="3596" width="11.42578125" style="367" customWidth="1"/>
    <col min="3597" max="3597" width="9.28515625" style="367" customWidth="1"/>
    <col min="3598" max="3598" width="11.5703125" style="367" customWidth="1"/>
    <col min="3599" max="3599" width="11.28515625" style="367" customWidth="1"/>
    <col min="3600" max="3600" width="11.7109375" style="367" customWidth="1"/>
    <col min="3601" max="3601" width="12" style="367" customWidth="1"/>
    <col min="3602" max="3602" width="11.7109375" style="367" customWidth="1"/>
    <col min="3603" max="3604" width="12" style="367" customWidth="1"/>
    <col min="3605" max="3605" width="13.85546875" style="367" customWidth="1"/>
    <col min="3606" max="3606" width="14.28515625" style="367" customWidth="1"/>
    <col min="3607" max="3840" width="9.140625" style="367"/>
    <col min="3841" max="3841" width="7.85546875" style="367" customWidth="1"/>
    <col min="3842" max="3842" width="13.28515625" style="367" customWidth="1"/>
    <col min="3843" max="3843" width="21.42578125" style="367" customWidth="1"/>
    <col min="3844" max="3844" width="20.28515625" style="367" customWidth="1"/>
    <col min="3845" max="3845" width="16.85546875" style="367" customWidth="1"/>
    <col min="3846" max="3846" width="19.28515625" style="367" customWidth="1"/>
    <col min="3847" max="3848" width="10.7109375" style="367" customWidth="1"/>
    <col min="3849" max="3849" width="10" style="367" customWidth="1"/>
    <col min="3850" max="3850" width="10.7109375" style="367" customWidth="1"/>
    <col min="3851" max="3851" width="12.85546875" style="367" customWidth="1"/>
    <col min="3852" max="3852" width="11.42578125" style="367" customWidth="1"/>
    <col min="3853" max="3853" width="9.28515625" style="367" customWidth="1"/>
    <col min="3854" max="3854" width="11.5703125" style="367" customWidth="1"/>
    <col min="3855" max="3855" width="11.28515625" style="367" customWidth="1"/>
    <col min="3856" max="3856" width="11.7109375" style="367" customWidth="1"/>
    <col min="3857" max="3857" width="12" style="367" customWidth="1"/>
    <col min="3858" max="3858" width="11.7109375" style="367" customWidth="1"/>
    <col min="3859" max="3860" width="12" style="367" customWidth="1"/>
    <col min="3861" max="3861" width="13.85546875" style="367" customWidth="1"/>
    <col min="3862" max="3862" width="14.28515625" style="367" customWidth="1"/>
    <col min="3863" max="4096" width="9.140625" style="367"/>
    <col min="4097" max="4097" width="7.85546875" style="367" customWidth="1"/>
    <col min="4098" max="4098" width="13.28515625" style="367" customWidth="1"/>
    <col min="4099" max="4099" width="21.42578125" style="367" customWidth="1"/>
    <col min="4100" max="4100" width="20.28515625" style="367" customWidth="1"/>
    <col min="4101" max="4101" width="16.85546875" style="367" customWidth="1"/>
    <col min="4102" max="4102" width="19.28515625" style="367" customWidth="1"/>
    <col min="4103" max="4104" width="10.7109375" style="367" customWidth="1"/>
    <col min="4105" max="4105" width="10" style="367" customWidth="1"/>
    <col min="4106" max="4106" width="10.7109375" style="367" customWidth="1"/>
    <col min="4107" max="4107" width="12.85546875" style="367" customWidth="1"/>
    <col min="4108" max="4108" width="11.42578125" style="367" customWidth="1"/>
    <col min="4109" max="4109" width="9.28515625" style="367" customWidth="1"/>
    <col min="4110" max="4110" width="11.5703125" style="367" customWidth="1"/>
    <col min="4111" max="4111" width="11.28515625" style="367" customWidth="1"/>
    <col min="4112" max="4112" width="11.7109375" style="367" customWidth="1"/>
    <col min="4113" max="4113" width="12" style="367" customWidth="1"/>
    <col min="4114" max="4114" width="11.7109375" style="367" customWidth="1"/>
    <col min="4115" max="4116" width="12" style="367" customWidth="1"/>
    <col min="4117" max="4117" width="13.85546875" style="367" customWidth="1"/>
    <col min="4118" max="4118" width="14.28515625" style="367" customWidth="1"/>
    <col min="4119" max="4352" width="9.140625" style="367"/>
    <col min="4353" max="4353" width="7.85546875" style="367" customWidth="1"/>
    <col min="4354" max="4354" width="13.28515625" style="367" customWidth="1"/>
    <col min="4355" max="4355" width="21.42578125" style="367" customWidth="1"/>
    <col min="4356" max="4356" width="20.28515625" style="367" customWidth="1"/>
    <col min="4357" max="4357" width="16.85546875" style="367" customWidth="1"/>
    <col min="4358" max="4358" width="19.28515625" style="367" customWidth="1"/>
    <col min="4359" max="4360" width="10.7109375" style="367" customWidth="1"/>
    <col min="4361" max="4361" width="10" style="367" customWidth="1"/>
    <col min="4362" max="4362" width="10.7109375" style="367" customWidth="1"/>
    <col min="4363" max="4363" width="12.85546875" style="367" customWidth="1"/>
    <col min="4364" max="4364" width="11.42578125" style="367" customWidth="1"/>
    <col min="4365" max="4365" width="9.28515625" style="367" customWidth="1"/>
    <col min="4366" max="4366" width="11.5703125" style="367" customWidth="1"/>
    <col min="4367" max="4367" width="11.28515625" style="367" customWidth="1"/>
    <col min="4368" max="4368" width="11.7109375" style="367" customWidth="1"/>
    <col min="4369" max="4369" width="12" style="367" customWidth="1"/>
    <col min="4370" max="4370" width="11.7109375" style="367" customWidth="1"/>
    <col min="4371" max="4372" width="12" style="367" customWidth="1"/>
    <col min="4373" max="4373" width="13.85546875" style="367" customWidth="1"/>
    <col min="4374" max="4374" width="14.28515625" style="367" customWidth="1"/>
    <col min="4375" max="4608" width="9.140625" style="367"/>
    <col min="4609" max="4609" width="7.85546875" style="367" customWidth="1"/>
    <col min="4610" max="4610" width="13.28515625" style="367" customWidth="1"/>
    <col min="4611" max="4611" width="21.42578125" style="367" customWidth="1"/>
    <col min="4612" max="4612" width="20.28515625" style="367" customWidth="1"/>
    <col min="4613" max="4613" width="16.85546875" style="367" customWidth="1"/>
    <col min="4614" max="4614" width="19.28515625" style="367" customWidth="1"/>
    <col min="4615" max="4616" width="10.7109375" style="367" customWidth="1"/>
    <col min="4617" max="4617" width="10" style="367" customWidth="1"/>
    <col min="4618" max="4618" width="10.7109375" style="367" customWidth="1"/>
    <col min="4619" max="4619" width="12.85546875" style="367" customWidth="1"/>
    <col min="4620" max="4620" width="11.42578125" style="367" customWidth="1"/>
    <col min="4621" max="4621" width="9.28515625" style="367" customWidth="1"/>
    <col min="4622" max="4622" width="11.5703125" style="367" customWidth="1"/>
    <col min="4623" max="4623" width="11.28515625" style="367" customWidth="1"/>
    <col min="4624" max="4624" width="11.7109375" style="367" customWidth="1"/>
    <col min="4625" max="4625" width="12" style="367" customWidth="1"/>
    <col min="4626" max="4626" width="11.7109375" style="367" customWidth="1"/>
    <col min="4627" max="4628" width="12" style="367" customWidth="1"/>
    <col min="4629" max="4629" width="13.85546875" style="367" customWidth="1"/>
    <col min="4630" max="4630" width="14.28515625" style="367" customWidth="1"/>
    <col min="4631" max="4864" width="9.140625" style="367"/>
    <col min="4865" max="4865" width="7.85546875" style="367" customWidth="1"/>
    <col min="4866" max="4866" width="13.28515625" style="367" customWidth="1"/>
    <col min="4867" max="4867" width="21.42578125" style="367" customWidth="1"/>
    <col min="4868" max="4868" width="20.28515625" style="367" customWidth="1"/>
    <col min="4869" max="4869" width="16.85546875" style="367" customWidth="1"/>
    <col min="4870" max="4870" width="19.28515625" style="367" customWidth="1"/>
    <col min="4871" max="4872" width="10.7109375" style="367" customWidth="1"/>
    <col min="4873" max="4873" width="10" style="367" customWidth="1"/>
    <col min="4874" max="4874" width="10.7109375" style="367" customWidth="1"/>
    <col min="4875" max="4875" width="12.85546875" style="367" customWidth="1"/>
    <col min="4876" max="4876" width="11.42578125" style="367" customWidth="1"/>
    <col min="4877" max="4877" width="9.28515625" style="367" customWidth="1"/>
    <col min="4878" max="4878" width="11.5703125" style="367" customWidth="1"/>
    <col min="4879" max="4879" width="11.28515625" style="367" customWidth="1"/>
    <col min="4880" max="4880" width="11.7109375" style="367" customWidth="1"/>
    <col min="4881" max="4881" width="12" style="367" customWidth="1"/>
    <col min="4882" max="4882" width="11.7109375" style="367" customWidth="1"/>
    <col min="4883" max="4884" width="12" style="367" customWidth="1"/>
    <col min="4885" max="4885" width="13.85546875" style="367" customWidth="1"/>
    <col min="4886" max="4886" width="14.28515625" style="367" customWidth="1"/>
    <col min="4887" max="5120" width="9.140625" style="367"/>
    <col min="5121" max="5121" width="7.85546875" style="367" customWidth="1"/>
    <col min="5122" max="5122" width="13.28515625" style="367" customWidth="1"/>
    <col min="5123" max="5123" width="21.42578125" style="367" customWidth="1"/>
    <col min="5124" max="5124" width="20.28515625" style="367" customWidth="1"/>
    <col min="5125" max="5125" width="16.85546875" style="367" customWidth="1"/>
    <col min="5126" max="5126" width="19.28515625" style="367" customWidth="1"/>
    <col min="5127" max="5128" width="10.7109375" style="367" customWidth="1"/>
    <col min="5129" max="5129" width="10" style="367" customWidth="1"/>
    <col min="5130" max="5130" width="10.7109375" style="367" customWidth="1"/>
    <col min="5131" max="5131" width="12.85546875" style="367" customWidth="1"/>
    <col min="5132" max="5132" width="11.42578125" style="367" customWidth="1"/>
    <col min="5133" max="5133" width="9.28515625" style="367" customWidth="1"/>
    <col min="5134" max="5134" width="11.5703125" style="367" customWidth="1"/>
    <col min="5135" max="5135" width="11.28515625" style="367" customWidth="1"/>
    <col min="5136" max="5136" width="11.7109375" style="367" customWidth="1"/>
    <col min="5137" max="5137" width="12" style="367" customWidth="1"/>
    <col min="5138" max="5138" width="11.7109375" style="367" customWidth="1"/>
    <col min="5139" max="5140" width="12" style="367" customWidth="1"/>
    <col min="5141" max="5141" width="13.85546875" style="367" customWidth="1"/>
    <col min="5142" max="5142" width="14.28515625" style="367" customWidth="1"/>
    <col min="5143" max="5376" width="9.140625" style="367"/>
    <col min="5377" max="5377" width="7.85546875" style="367" customWidth="1"/>
    <col min="5378" max="5378" width="13.28515625" style="367" customWidth="1"/>
    <col min="5379" max="5379" width="21.42578125" style="367" customWidth="1"/>
    <col min="5380" max="5380" width="20.28515625" style="367" customWidth="1"/>
    <col min="5381" max="5381" width="16.85546875" style="367" customWidth="1"/>
    <col min="5382" max="5382" width="19.28515625" style="367" customWidth="1"/>
    <col min="5383" max="5384" width="10.7109375" style="367" customWidth="1"/>
    <col min="5385" max="5385" width="10" style="367" customWidth="1"/>
    <col min="5386" max="5386" width="10.7109375" style="367" customWidth="1"/>
    <col min="5387" max="5387" width="12.85546875" style="367" customWidth="1"/>
    <col min="5388" max="5388" width="11.42578125" style="367" customWidth="1"/>
    <col min="5389" max="5389" width="9.28515625" style="367" customWidth="1"/>
    <col min="5390" max="5390" width="11.5703125" style="367" customWidth="1"/>
    <col min="5391" max="5391" width="11.28515625" style="367" customWidth="1"/>
    <col min="5392" max="5392" width="11.7109375" style="367" customWidth="1"/>
    <col min="5393" max="5393" width="12" style="367" customWidth="1"/>
    <col min="5394" max="5394" width="11.7109375" style="367" customWidth="1"/>
    <col min="5395" max="5396" width="12" style="367" customWidth="1"/>
    <col min="5397" max="5397" width="13.85546875" style="367" customWidth="1"/>
    <col min="5398" max="5398" width="14.28515625" style="367" customWidth="1"/>
    <col min="5399" max="5632" width="9.140625" style="367"/>
    <col min="5633" max="5633" width="7.85546875" style="367" customWidth="1"/>
    <col min="5634" max="5634" width="13.28515625" style="367" customWidth="1"/>
    <col min="5635" max="5635" width="21.42578125" style="367" customWidth="1"/>
    <col min="5636" max="5636" width="20.28515625" style="367" customWidth="1"/>
    <col min="5637" max="5637" width="16.85546875" style="367" customWidth="1"/>
    <col min="5638" max="5638" width="19.28515625" style="367" customWidth="1"/>
    <col min="5639" max="5640" width="10.7109375" style="367" customWidth="1"/>
    <col min="5641" max="5641" width="10" style="367" customWidth="1"/>
    <col min="5642" max="5642" width="10.7109375" style="367" customWidth="1"/>
    <col min="5643" max="5643" width="12.85546875" style="367" customWidth="1"/>
    <col min="5644" max="5644" width="11.42578125" style="367" customWidth="1"/>
    <col min="5645" max="5645" width="9.28515625" style="367" customWidth="1"/>
    <col min="5646" max="5646" width="11.5703125" style="367" customWidth="1"/>
    <col min="5647" max="5647" width="11.28515625" style="367" customWidth="1"/>
    <col min="5648" max="5648" width="11.7109375" style="367" customWidth="1"/>
    <col min="5649" max="5649" width="12" style="367" customWidth="1"/>
    <col min="5650" max="5650" width="11.7109375" style="367" customWidth="1"/>
    <col min="5651" max="5652" width="12" style="367" customWidth="1"/>
    <col min="5653" max="5653" width="13.85546875" style="367" customWidth="1"/>
    <col min="5654" max="5654" width="14.28515625" style="367" customWidth="1"/>
    <col min="5655" max="5888" width="9.140625" style="367"/>
    <col min="5889" max="5889" width="7.85546875" style="367" customWidth="1"/>
    <col min="5890" max="5890" width="13.28515625" style="367" customWidth="1"/>
    <col min="5891" max="5891" width="21.42578125" style="367" customWidth="1"/>
    <col min="5892" max="5892" width="20.28515625" style="367" customWidth="1"/>
    <col min="5893" max="5893" width="16.85546875" style="367" customWidth="1"/>
    <col min="5894" max="5894" width="19.28515625" style="367" customWidth="1"/>
    <col min="5895" max="5896" width="10.7109375" style="367" customWidth="1"/>
    <col min="5897" max="5897" width="10" style="367" customWidth="1"/>
    <col min="5898" max="5898" width="10.7109375" style="367" customWidth="1"/>
    <col min="5899" max="5899" width="12.85546875" style="367" customWidth="1"/>
    <col min="5900" max="5900" width="11.42578125" style="367" customWidth="1"/>
    <col min="5901" max="5901" width="9.28515625" style="367" customWidth="1"/>
    <col min="5902" max="5902" width="11.5703125" style="367" customWidth="1"/>
    <col min="5903" max="5903" width="11.28515625" style="367" customWidth="1"/>
    <col min="5904" max="5904" width="11.7109375" style="367" customWidth="1"/>
    <col min="5905" max="5905" width="12" style="367" customWidth="1"/>
    <col min="5906" max="5906" width="11.7109375" style="367" customWidth="1"/>
    <col min="5907" max="5908" width="12" style="367" customWidth="1"/>
    <col min="5909" max="5909" width="13.85546875" style="367" customWidth="1"/>
    <col min="5910" max="5910" width="14.28515625" style="367" customWidth="1"/>
    <col min="5911" max="6144" width="9.140625" style="367"/>
    <col min="6145" max="6145" width="7.85546875" style="367" customWidth="1"/>
    <col min="6146" max="6146" width="13.28515625" style="367" customWidth="1"/>
    <col min="6147" max="6147" width="21.42578125" style="367" customWidth="1"/>
    <col min="6148" max="6148" width="20.28515625" style="367" customWidth="1"/>
    <col min="6149" max="6149" width="16.85546875" style="367" customWidth="1"/>
    <col min="6150" max="6150" width="19.28515625" style="367" customWidth="1"/>
    <col min="6151" max="6152" width="10.7109375" style="367" customWidth="1"/>
    <col min="6153" max="6153" width="10" style="367" customWidth="1"/>
    <col min="6154" max="6154" width="10.7109375" style="367" customWidth="1"/>
    <col min="6155" max="6155" width="12.85546875" style="367" customWidth="1"/>
    <col min="6156" max="6156" width="11.42578125" style="367" customWidth="1"/>
    <col min="6157" max="6157" width="9.28515625" style="367" customWidth="1"/>
    <col min="6158" max="6158" width="11.5703125" style="367" customWidth="1"/>
    <col min="6159" max="6159" width="11.28515625" style="367" customWidth="1"/>
    <col min="6160" max="6160" width="11.7109375" style="367" customWidth="1"/>
    <col min="6161" max="6161" width="12" style="367" customWidth="1"/>
    <col min="6162" max="6162" width="11.7109375" style="367" customWidth="1"/>
    <col min="6163" max="6164" width="12" style="367" customWidth="1"/>
    <col min="6165" max="6165" width="13.85546875" style="367" customWidth="1"/>
    <col min="6166" max="6166" width="14.28515625" style="367" customWidth="1"/>
    <col min="6167" max="6400" width="9.140625" style="367"/>
    <col min="6401" max="6401" width="7.85546875" style="367" customWidth="1"/>
    <col min="6402" max="6402" width="13.28515625" style="367" customWidth="1"/>
    <col min="6403" max="6403" width="21.42578125" style="367" customWidth="1"/>
    <col min="6404" max="6404" width="20.28515625" style="367" customWidth="1"/>
    <col min="6405" max="6405" width="16.85546875" style="367" customWidth="1"/>
    <col min="6406" max="6406" width="19.28515625" style="367" customWidth="1"/>
    <col min="6407" max="6408" width="10.7109375" style="367" customWidth="1"/>
    <col min="6409" max="6409" width="10" style="367" customWidth="1"/>
    <col min="6410" max="6410" width="10.7109375" style="367" customWidth="1"/>
    <col min="6411" max="6411" width="12.85546875" style="367" customWidth="1"/>
    <col min="6412" max="6412" width="11.42578125" style="367" customWidth="1"/>
    <col min="6413" max="6413" width="9.28515625" style="367" customWidth="1"/>
    <col min="6414" max="6414" width="11.5703125" style="367" customWidth="1"/>
    <col min="6415" max="6415" width="11.28515625" style="367" customWidth="1"/>
    <col min="6416" max="6416" width="11.7109375" style="367" customWidth="1"/>
    <col min="6417" max="6417" width="12" style="367" customWidth="1"/>
    <col min="6418" max="6418" width="11.7109375" style="367" customWidth="1"/>
    <col min="6419" max="6420" width="12" style="367" customWidth="1"/>
    <col min="6421" max="6421" width="13.85546875" style="367" customWidth="1"/>
    <col min="6422" max="6422" width="14.28515625" style="367" customWidth="1"/>
    <col min="6423" max="6656" width="9.140625" style="367"/>
    <col min="6657" max="6657" width="7.85546875" style="367" customWidth="1"/>
    <col min="6658" max="6658" width="13.28515625" style="367" customWidth="1"/>
    <col min="6659" max="6659" width="21.42578125" style="367" customWidth="1"/>
    <col min="6660" max="6660" width="20.28515625" style="367" customWidth="1"/>
    <col min="6661" max="6661" width="16.85546875" style="367" customWidth="1"/>
    <col min="6662" max="6662" width="19.28515625" style="367" customWidth="1"/>
    <col min="6663" max="6664" width="10.7109375" style="367" customWidth="1"/>
    <col min="6665" max="6665" width="10" style="367" customWidth="1"/>
    <col min="6666" max="6666" width="10.7109375" style="367" customWidth="1"/>
    <col min="6667" max="6667" width="12.85546875" style="367" customWidth="1"/>
    <col min="6668" max="6668" width="11.42578125" style="367" customWidth="1"/>
    <col min="6669" max="6669" width="9.28515625" style="367" customWidth="1"/>
    <col min="6670" max="6670" width="11.5703125" style="367" customWidth="1"/>
    <col min="6671" max="6671" width="11.28515625" style="367" customWidth="1"/>
    <col min="6672" max="6672" width="11.7109375" style="367" customWidth="1"/>
    <col min="6673" max="6673" width="12" style="367" customWidth="1"/>
    <col min="6674" max="6674" width="11.7109375" style="367" customWidth="1"/>
    <col min="6675" max="6676" width="12" style="367" customWidth="1"/>
    <col min="6677" max="6677" width="13.85546875" style="367" customWidth="1"/>
    <col min="6678" max="6678" width="14.28515625" style="367" customWidth="1"/>
    <col min="6679" max="6912" width="9.140625" style="367"/>
    <col min="6913" max="6913" width="7.85546875" style="367" customWidth="1"/>
    <col min="6914" max="6914" width="13.28515625" style="367" customWidth="1"/>
    <col min="6915" max="6915" width="21.42578125" style="367" customWidth="1"/>
    <col min="6916" max="6916" width="20.28515625" style="367" customWidth="1"/>
    <col min="6917" max="6917" width="16.85546875" style="367" customWidth="1"/>
    <col min="6918" max="6918" width="19.28515625" style="367" customWidth="1"/>
    <col min="6919" max="6920" width="10.7109375" style="367" customWidth="1"/>
    <col min="6921" max="6921" width="10" style="367" customWidth="1"/>
    <col min="6922" max="6922" width="10.7109375" style="367" customWidth="1"/>
    <col min="6923" max="6923" width="12.85546875" style="367" customWidth="1"/>
    <col min="6924" max="6924" width="11.42578125" style="367" customWidth="1"/>
    <col min="6925" max="6925" width="9.28515625" style="367" customWidth="1"/>
    <col min="6926" max="6926" width="11.5703125" style="367" customWidth="1"/>
    <col min="6927" max="6927" width="11.28515625" style="367" customWidth="1"/>
    <col min="6928" max="6928" width="11.7109375" style="367" customWidth="1"/>
    <col min="6929" max="6929" width="12" style="367" customWidth="1"/>
    <col min="6930" max="6930" width="11.7109375" style="367" customWidth="1"/>
    <col min="6931" max="6932" width="12" style="367" customWidth="1"/>
    <col min="6933" max="6933" width="13.85546875" style="367" customWidth="1"/>
    <col min="6934" max="6934" width="14.28515625" style="367" customWidth="1"/>
    <col min="6935" max="7168" width="9.140625" style="367"/>
    <col min="7169" max="7169" width="7.85546875" style="367" customWidth="1"/>
    <col min="7170" max="7170" width="13.28515625" style="367" customWidth="1"/>
    <col min="7171" max="7171" width="21.42578125" style="367" customWidth="1"/>
    <col min="7172" max="7172" width="20.28515625" style="367" customWidth="1"/>
    <col min="7173" max="7173" width="16.85546875" style="367" customWidth="1"/>
    <col min="7174" max="7174" width="19.28515625" style="367" customWidth="1"/>
    <col min="7175" max="7176" width="10.7109375" style="367" customWidth="1"/>
    <col min="7177" max="7177" width="10" style="367" customWidth="1"/>
    <col min="7178" max="7178" width="10.7109375" style="367" customWidth="1"/>
    <col min="7179" max="7179" width="12.85546875" style="367" customWidth="1"/>
    <col min="7180" max="7180" width="11.42578125" style="367" customWidth="1"/>
    <col min="7181" max="7181" width="9.28515625" style="367" customWidth="1"/>
    <col min="7182" max="7182" width="11.5703125" style="367" customWidth="1"/>
    <col min="7183" max="7183" width="11.28515625" style="367" customWidth="1"/>
    <col min="7184" max="7184" width="11.7109375" style="367" customWidth="1"/>
    <col min="7185" max="7185" width="12" style="367" customWidth="1"/>
    <col min="7186" max="7186" width="11.7109375" style="367" customWidth="1"/>
    <col min="7187" max="7188" width="12" style="367" customWidth="1"/>
    <col min="7189" max="7189" width="13.85546875" style="367" customWidth="1"/>
    <col min="7190" max="7190" width="14.28515625" style="367" customWidth="1"/>
    <col min="7191" max="7424" width="9.140625" style="367"/>
    <col min="7425" max="7425" width="7.85546875" style="367" customWidth="1"/>
    <col min="7426" max="7426" width="13.28515625" style="367" customWidth="1"/>
    <col min="7427" max="7427" width="21.42578125" style="367" customWidth="1"/>
    <col min="7428" max="7428" width="20.28515625" style="367" customWidth="1"/>
    <col min="7429" max="7429" width="16.85546875" style="367" customWidth="1"/>
    <col min="7430" max="7430" width="19.28515625" style="367" customWidth="1"/>
    <col min="7431" max="7432" width="10.7109375" style="367" customWidth="1"/>
    <col min="7433" max="7433" width="10" style="367" customWidth="1"/>
    <col min="7434" max="7434" width="10.7109375" style="367" customWidth="1"/>
    <col min="7435" max="7435" width="12.85546875" style="367" customWidth="1"/>
    <col min="7436" max="7436" width="11.42578125" style="367" customWidth="1"/>
    <col min="7437" max="7437" width="9.28515625" style="367" customWidth="1"/>
    <col min="7438" max="7438" width="11.5703125" style="367" customWidth="1"/>
    <col min="7439" max="7439" width="11.28515625" style="367" customWidth="1"/>
    <col min="7440" max="7440" width="11.7109375" style="367" customWidth="1"/>
    <col min="7441" max="7441" width="12" style="367" customWidth="1"/>
    <col min="7442" max="7442" width="11.7109375" style="367" customWidth="1"/>
    <col min="7443" max="7444" width="12" style="367" customWidth="1"/>
    <col min="7445" max="7445" width="13.85546875" style="367" customWidth="1"/>
    <col min="7446" max="7446" width="14.28515625" style="367" customWidth="1"/>
    <col min="7447" max="7680" width="9.140625" style="367"/>
    <col min="7681" max="7681" width="7.85546875" style="367" customWidth="1"/>
    <col min="7682" max="7682" width="13.28515625" style="367" customWidth="1"/>
    <col min="7683" max="7683" width="21.42578125" style="367" customWidth="1"/>
    <col min="7684" max="7684" width="20.28515625" style="367" customWidth="1"/>
    <col min="7685" max="7685" width="16.85546875" style="367" customWidth="1"/>
    <col min="7686" max="7686" width="19.28515625" style="367" customWidth="1"/>
    <col min="7687" max="7688" width="10.7109375" style="367" customWidth="1"/>
    <col min="7689" max="7689" width="10" style="367" customWidth="1"/>
    <col min="7690" max="7690" width="10.7109375" style="367" customWidth="1"/>
    <col min="7691" max="7691" width="12.85546875" style="367" customWidth="1"/>
    <col min="7692" max="7692" width="11.42578125" style="367" customWidth="1"/>
    <col min="7693" max="7693" width="9.28515625" style="367" customWidth="1"/>
    <col min="7694" max="7694" width="11.5703125" style="367" customWidth="1"/>
    <col min="7695" max="7695" width="11.28515625" style="367" customWidth="1"/>
    <col min="7696" max="7696" width="11.7109375" style="367" customWidth="1"/>
    <col min="7697" max="7697" width="12" style="367" customWidth="1"/>
    <col min="7698" max="7698" width="11.7109375" style="367" customWidth="1"/>
    <col min="7699" max="7700" width="12" style="367" customWidth="1"/>
    <col min="7701" max="7701" width="13.85546875" style="367" customWidth="1"/>
    <col min="7702" max="7702" width="14.28515625" style="367" customWidth="1"/>
    <col min="7703" max="7936" width="9.140625" style="367"/>
    <col min="7937" max="7937" width="7.85546875" style="367" customWidth="1"/>
    <col min="7938" max="7938" width="13.28515625" style="367" customWidth="1"/>
    <col min="7939" max="7939" width="21.42578125" style="367" customWidth="1"/>
    <col min="7940" max="7940" width="20.28515625" style="367" customWidth="1"/>
    <col min="7941" max="7941" width="16.85546875" style="367" customWidth="1"/>
    <col min="7942" max="7942" width="19.28515625" style="367" customWidth="1"/>
    <col min="7943" max="7944" width="10.7109375" style="367" customWidth="1"/>
    <col min="7945" max="7945" width="10" style="367" customWidth="1"/>
    <col min="7946" max="7946" width="10.7109375" style="367" customWidth="1"/>
    <col min="7947" max="7947" width="12.85546875" style="367" customWidth="1"/>
    <col min="7948" max="7948" width="11.42578125" style="367" customWidth="1"/>
    <col min="7949" max="7949" width="9.28515625" style="367" customWidth="1"/>
    <col min="7950" max="7950" width="11.5703125" style="367" customWidth="1"/>
    <col min="7951" max="7951" width="11.28515625" style="367" customWidth="1"/>
    <col min="7952" max="7952" width="11.7109375" style="367" customWidth="1"/>
    <col min="7953" max="7953" width="12" style="367" customWidth="1"/>
    <col min="7954" max="7954" width="11.7109375" style="367" customWidth="1"/>
    <col min="7955" max="7956" width="12" style="367" customWidth="1"/>
    <col min="7957" max="7957" width="13.85546875" style="367" customWidth="1"/>
    <col min="7958" max="7958" width="14.28515625" style="367" customWidth="1"/>
    <col min="7959" max="8192" width="9.140625" style="367"/>
    <col min="8193" max="8193" width="7.85546875" style="367" customWidth="1"/>
    <col min="8194" max="8194" width="13.28515625" style="367" customWidth="1"/>
    <col min="8195" max="8195" width="21.42578125" style="367" customWidth="1"/>
    <col min="8196" max="8196" width="20.28515625" style="367" customWidth="1"/>
    <col min="8197" max="8197" width="16.85546875" style="367" customWidth="1"/>
    <col min="8198" max="8198" width="19.28515625" style="367" customWidth="1"/>
    <col min="8199" max="8200" width="10.7109375" style="367" customWidth="1"/>
    <col min="8201" max="8201" width="10" style="367" customWidth="1"/>
    <col min="8202" max="8202" width="10.7109375" style="367" customWidth="1"/>
    <col min="8203" max="8203" width="12.85546875" style="367" customWidth="1"/>
    <col min="8204" max="8204" width="11.42578125" style="367" customWidth="1"/>
    <col min="8205" max="8205" width="9.28515625" style="367" customWidth="1"/>
    <col min="8206" max="8206" width="11.5703125" style="367" customWidth="1"/>
    <col min="8207" max="8207" width="11.28515625" style="367" customWidth="1"/>
    <col min="8208" max="8208" width="11.7109375" style="367" customWidth="1"/>
    <col min="8209" max="8209" width="12" style="367" customWidth="1"/>
    <col min="8210" max="8210" width="11.7109375" style="367" customWidth="1"/>
    <col min="8211" max="8212" width="12" style="367" customWidth="1"/>
    <col min="8213" max="8213" width="13.85546875" style="367" customWidth="1"/>
    <col min="8214" max="8214" width="14.28515625" style="367" customWidth="1"/>
    <col min="8215" max="8448" width="9.140625" style="367"/>
    <col min="8449" max="8449" width="7.85546875" style="367" customWidth="1"/>
    <col min="8450" max="8450" width="13.28515625" style="367" customWidth="1"/>
    <col min="8451" max="8451" width="21.42578125" style="367" customWidth="1"/>
    <col min="8452" max="8452" width="20.28515625" style="367" customWidth="1"/>
    <col min="8453" max="8453" width="16.85546875" style="367" customWidth="1"/>
    <col min="8454" max="8454" width="19.28515625" style="367" customWidth="1"/>
    <col min="8455" max="8456" width="10.7109375" style="367" customWidth="1"/>
    <col min="8457" max="8457" width="10" style="367" customWidth="1"/>
    <col min="8458" max="8458" width="10.7109375" style="367" customWidth="1"/>
    <col min="8459" max="8459" width="12.85546875" style="367" customWidth="1"/>
    <col min="8460" max="8460" width="11.42578125" style="367" customWidth="1"/>
    <col min="8461" max="8461" width="9.28515625" style="367" customWidth="1"/>
    <col min="8462" max="8462" width="11.5703125" style="367" customWidth="1"/>
    <col min="8463" max="8463" width="11.28515625" style="367" customWidth="1"/>
    <col min="8464" max="8464" width="11.7109375" style="367" customWidth="1"/>
    <col min="8465" max="8465" width="12" style="367" customWidth="1"/>
    <col min="8466" max="8466" width="11.7109375" style="367" customWidth="1"/>
    <col min="8467" max="8468" width="12" style="367" customWidth="1"/>
    <col min="8469" max="8469" width="13.85546875" style="367" customWidth="1"/>
    <col min="8470" max="8470" width="14.28515625" style="367" customWidth="1"/>
    <col min="8471" max="8704" width="9.140625" style="367"/>
    <col min="8705" max="8705" width="7.85546875" style="367" customWidth="1"/>
    <col min="8706" max="8706" width="13.28515625" style="367" customWidth="1"/>
    <col min="8707" max="8707" width="21.42578125" style="367" customWidth="1"/>
    <col min="8708" max="8708" width="20.28515625" style="367" customWidth="1"/>
    <col min="8709" max="8709" width="16.85546875" style="367" customWidth="1"/>
    <col min="8710" max="8710" width="19.28515625" style="367" customWidth="1"/>
    <col min="8711" max="8712" width="10.7109375" style="367" customWidth="1"/>
    <col min="8713" max="8713" width="10" style="367" customWidth="1"/>
    <col min="8714" max="8714" width="10.7109375" style="367" customWidth="1"/>
    <col min="8715" max="8715" width="12.85546875" style="367" customWidth="1"/>
    <col min="8716" max="8716" width="11.42578125" style="367" customWidth="1"/>
    <col min="8717" max="8717" width="9.28515625" style="367" customWidth="1"/>
    <col min="8718" max="8718" width="11.5703125" style="367" customWidth="1"/>
    <col min="8719" max="8719" width="11.28515625" style="367" customWidth="1"/>
    <col min="8720" max="8720" width="11.7109375" style="367" customWidth="1"/>
    <col min="8721" max="8721" width="12" style="367" customWidth="1"/>
    <col min="8722" max="8722" width="11.7109375" style="367" customWidth="1"/>
    <col min="8723" max="8724" width="12" style="367" customWidth="1"/>
    <col min="8725" max="8725" width="13.85546875" style="367" customWidth="1"/>
    <col min="8726" max="8726" width="14.28515625" style="367" customWidth="1"/>
    <col min="8727" max="8960" width="9.140625" style="367"/>
    <col min="8961" max="8961" width="7.85546875" style="367" customWidth="1"/>
    <col min="8962" max="8962" width="13.28515625" style="367" customWidth="1"/>
    <col min="8963" max="8963" width="21.42578125" style="367" customWidth="1"/>
    <col min="8964" max="8964" width="20.28515625" style="367" customWidth="1"/>
    <col min="8965" max="8965" width="16.85546875" style="367" customWidth="1"/>
    <col min="8966" max="8966" width="19.28515625" style="367" customWidth="1"/>
    <col min="8967" max="8968" width="10.7109375" style="367" customWidth="1"/>
    <col min="8969" max="8969" width="10" style="367" customWidth="1"/>
    <col min="8970" max="8970" width="10.7109375" style="367" customWidth="1"/>
    <col min="8971" max="8971" width="12.85546875" style="367" customWidth="1"/>
    <col min="8972" max="8972" width="11.42578125" style="367" customWidth="1"/>
    <col min="8973" max="8973" width="9.28515625" style="367" customWidth="1"/>
    <col min="8974" max="8974" width="11.5703125" style="367" customWidth="1"/>
    <col min="8975" max="8975" width="11.28515625" style="367" customWidth="1"/>
    <col min="8976" max="8976" width="11.7109375" style="367" customWidth="1"/>
    <col min="8977" max="8977" width="12" style="367" customWidth="1"/>
    <col min="8978" max="8978" width="11.7109375" style="367" customWidth="1"/>
    <col min="8979" max="8980" width="12" style="367" customWidth="1"/>
    <col min="8981" max="8981" width="13.85546875" style="367" customWidth="1"/>
    <col min="8982" max="8982" width="14.28515625" style="367" customWidth="1"/>
    <col min="8983" max="9216" width="9.140625" style="367"/>
    <col min="9217" max="9217" width="7.85546875" style="367" customWidth="1"/>
    <col min="9218" max="9218" width="13.28515625" style="367" customWidth="1"/>
    <col min="9219" max="9219" width="21.42578125" style="367" customWidth="1"/>
    <col min="9220" max="9220" width="20.28515625" style="367" customWidth="1"/>
    <col min="9221" max="9221" width="16.85546875" style="367" customWidth="1"/>
    <col min="9222" max="9222" width="19.28515625" style="367" customWidth="1"/>
    <col min="9223" max="9224" width="10.7109375" style="367" customWidth="1"/>
    <col min="9225" max="9225" width="10" style="367" customWidth="1"/>
    <col min="9226" max="9226" width="10.7109375" style="367" customWidth="1"/>
    <col min="9227" max="9227" width="12.85546875" style="367" customWidth="1"/>
    <col min="9228" max="9228" width="11.42578125" style="367" customWidth="1"/>
    <col min="9229" max="9229" width="9.28515625" style="367" customWidth="1"/>
    <col min="9230" max="9230" width="11.5703125" style="367" customWidth="1"/>
    <col min="9231" max="9231" width="11.28515625" style="367" customWidth="1"/>
    <col min="9232" max="9232" width="11.7109375" style="367" customWidth="1"/>
    <col min="9233" max="9233" width="12" style="367" customWidth="1"/>
    <col min="9234" max="9234" width="11.7109375" style="367" customWidth="1"/>
    <col min="9235" max="9236" width="12" style="367" customWidth="1"/>
    <col min="9237" max="9237" width="13.85546875" style="367" customWidth="1"/>
    <col min="9238" max="9238" width="14.28515625" style="367" customWidth="1"/>
    <col min="9239" max="9472" width="9.140625" style="367"/>
    <col min="9473" max="9473" width="7.85546875" style="367" customWidth="1"/>
    <col min="9474" max="9474" width="13.28515625" style="367" customWidth="1"/>
    <col min="9475" max="9475" width="21.42578125" style="367" customWidth="1"/>
    <col min="9476" max="9476" width="20.28515625" style="367" customWidth="1"/>
    <col min="9477" max="9477" width="16.85546875" style="367" customWidth="1"/>
    <col min="9478" max="9478" width="19.28515625" style="367" customWidth="1"/>
    <col min="9479" max="9480" width="10.7109375" style="367" customWidth="1"/>
    <col min="9481" max="9481" width="10" style="367" customWidth="1"/>
    <col min="9482" max="9482" width="10.7109375" style="367" customWidth="1"/>
    <col min="9483" max="9483" width="12.85546875" style="367" customWidth="1"/>
    <col min="9484" max="9484" width="11.42578125" style="367" customWidth="1"/>
    <col min="9485" max="9485" width="9.28515625" style="367" customWidth="1"/>
    <col min="9486" max="9486" width="11.5703125" style="367" customWidth="1"/>
    <col min="9487" max="9487" width="11.28515625" style="367" customWidth="1"/>
    <col min="9488" max="9488" width="11.7109375" style="367" customWidth="1"/>
    <col min="9489" max="9489" width="12" style="367" customWidth="1"/>
    <col min="9490" max="9490" width="11.7109375" style="367" customWidth="1"/>
    <col min="9491" max="9492" width="12" style="367" customWidth="1"/>
    <col min="9493" max="9493" width="13.85546875" style="367" customWidth="1"/>
    <col min="9494" max="9494" width="14.28515625" style="367" customWidth="1"/>
    <col min="9495" max="9728" width="9.140625" style="367"/>
    <col min="9729" max="9729" width="7.85546875" style="367" customWidth="1"/>
    <col min="9730" max="9730" width="13.28515625" style="367" customWidth="1"/>
    <col min="9731" max="9731" width="21.42578125" style="367" customWidth="1"/>
    <col min="9732" max="9732" width="20.28515625" style="367" customWidth="1"/>
    <col min="9733" max="9733" width="16.85546875" style="367" customWidth="1"/>
    <col min="9734" max="9734" width="19.28515625" style="367" customWidth="1"/>
    <col min="9735" max="9736" width="10.7109375" style="367" customWidth="1"/>
    <col min="9737" max="9737" width="10" style="367" customWidth="1"/>
    <col min="9738" max="9738" width="10.7109375" style="367" customWidth="1"/>
    <col min="9739" max="9739" width="12.85546875" style="367" customWidth="1"/>
    <col min="9740" max="9740" width="11.42578125" style="367" customWidth="1"/>
    <col min="9741" max="9741" width="9.28515625" style="367" customWidth="1"/>
    <col min="9742" max="9742" width="11.5703125" style="367" customWidth="1"/>
    <col min="9743" max="9743" width="11.28515625" style="367" customWidth="1"/>
    <col min="9744" max="9744" width="11.7109375" style="367" customWidth="1"/>
    <col min="9745" max="9745" width="12" style="367" customWidth="1"/>
    <col min="9746" max="9746" width="11.7109375" style="367" customWidth="1"/>
    <col min="9747" max="9748" width="12" style="367" customWidth="1"/>
    <col min="9749" max="9749" width="13.85546875" style="367" customWidth="1"/>
    <col min="9750" max="9750" width="14.28515625" style="367" customWidth="1"/>
    <col min="9751" max="9984" width="9.140625" style="367"/>
    <col min="9985" max="9985" width="7.85546875" style="367" customWidth="1"/>
    <col min="9986" max="9986" width="13.28515625" style="367" customWidth="1"/>
    <col min="9987" max="9987" width="21.42578125" style="367" customWidth="1"/>
    <col min="9988" max="9988" width="20.28515625" style="367" customWidth="1"/>
    <col min="9989" max="9989" width="16.85546875" style="367" customWidth="1"/>
    <col min="9990" max="9990" width="19.28515625" style="367" customWidth="1"/>
    <col min="9991" max="9992" width="10.7109375" style="367" customWidth="1"/>
    <col min="9993" max="9993" width="10" style="367" customWidth="1"/>
    <col min="9994" max="9994" width="10.7109375" style="367" customWidth="1"/>
    <col min="9995" max="9995" width="12.85546875" style="367" customWidth="1"/>
    <col min="9996" max="9996" width="11.42578125" style="367" customWidth="1"/>
    <col min="9997" max="9997" width="9.28515625" style="367" customWidth="1"/>
    <col min="9998" max="9998" width="11.5703125" style="367" customWidth="1"/>
    <col min="9999" max="9999" width="11.28515625" style="367" customWidth="1"/>
    <col min="10000" max="10000" width="11.7109375" style="367" customWidth="1"/>
    <col min="10001" max="10001" width="12" style="367" customWidth="1"/>
    <col min="10002" max="10002" width="11.7109375" style="367" customWidth="1"/>
    <col min="10003" max="10004" width="12" style="367" customWidth="1"/>
    <col min="10005" max="10005" width="13.85546875" style="367" customWidth="1"/>
    <col min="10006" max="10006" width="14.28515625" style="367" customWidth="1"/>
    <col min="10007" max="10240" width="9.140625" style="367"/>
    <col min="10241" max="10241" width="7.85546875" style="367" customWidth="1"/>
    <col min="10242" max="10242" width="13.28515625" style="367" customWidth="1"/>
    <col min="10243" max="10243" width="21.42578125" style="367" customWidth="1"/>
    <col min="10244" max="10244" width="20.28515625" style="367" customWidth="1"/>
    <col min="10245" max="10245" width="16.85546875" style="367" customWidth="1"/>
    <col min="10246" max="10246" width="19.28515625" style="367" customWidth="1"/>
    <col min="10247" max="10248" width="10.7109375" style="367" customWidth="1"/>
    <col min="10249" max="10249" width="10" style="367" customWidth="1"/>
    <col min="10250" max="10250" width="10.7109375" style="367" customWidth="1"/>
    <col min="10251" max="10251" width="12.85546875" style="367" customWidth="1"/>
    <col min="10252" max="10252" width="11.42578125" style="367" customWidth="1"/>
    <col min="10253" max="10253" width="9.28515625" style="367" customWidth="1"/>
    <col min="10254" max="10254" width="11.5703125" style="367" customWidth="1"/>
    <col min="10255" max="10255" width="11.28515625" style="367" customWidth="1"/>
    <col min="10256" max="10256" width="11.7109375" style="367" customWidth="1"/>
    <col min="10257" max="10257" width="12" style="367" customWidth="1"/>
    <col min="10258" max="10258" width="11.7109375" style="367" customWidth="1"/>
    <col min="10259" max="10260" width="12" style="367" customWidth="1"/>
    <col min="10261" max="10261" width="13.85546875" style="367" customWidth="1"/>
    <col min="10262" max="10262" width="14.28515625" style="367" customWidth="1"/>
    <col min="10263" max="10496" width="9.140625" style="367"/>
    <col min="10497" max="10497" width="7.85546875" style="367" customWidth="1"/>
    <col min="10498" max="10498" width="13.28515625" style="367" customWidth="1"/>
    <col min="10499" max="10499" width="21.42578125" style="367" customWidth="1"/>
    <col min="10500" max="10500" width="20.28515625" style="367" customWidth="1"/>
    <col min="10501" max="10501" width="16.85546875" style="367" customWidth="1"/>
    <col min="10502" max="10502" width="19.28515625" style="367" customWidth="1"/>
    <col min="10503" max="10504" width="10.7109375" style="367" customWidth="1"/>
    <col min="10505" max="10505" width="10" style="367" customWidth="1"/>
    <col min="10506" max="10506" width="10.7109375" style="367" customWidth="1"/>
    <col min="10507" max="10507" width="12.85546875" style="367" customWidth="1"/>
    <col min="10508" max="10508" width="11.42578125" style="367" customWidth="1"/>
    <col min="10509" max="10509" width="9.28515625" style="367" customWidth="1"/>
    <col min="10510" max="10510" width="11.5703125" style="367" customWidth="1"/>
    <col min="10511" max="10511" width="11.28515625" style="367" customWidth="1"/>
    <col min="10512" max="10512" width="11.7109375" style="367" customWidth="1"/>
    <col min="10513" max="10513" width="12" style="367" customWidth="1"/>
    <col min="10514" max="10514" width="11.7109375" style="367" customWidth="1"/>
    <col min="10515" max="10516" width="12" style="367" customWidth="1"/>
    <col min="10517" max="10517" width="13.85546875" style="367" customWidth="1"/>
    <col min="10518" max="10518" width="14.28515625" style="367" customWidth="1"/>
    <col min="10519" max="10752" width="9.140625" style="367"/>
    <col min="10753" max="10753" width="7.85546875" style="367" customWidth="1"/>
    <col min="10754" max="10754" width="13.28515625" style="367" customWidth="1"/>
    <col min="10755" max="10755" width="21.42578125" style="367" customWidth="1"/>
    <col min="10756" max="10756" width="20.28515625" style="367" customWidth="1"/>
    <col min="10757" max="10757" width="16.85546875" style="367" customWidth="1"/>
    <col min="10758" max="10758" width="19.28515625" style="367" customWidth="1"/>
    <col min="10759" max="10760" width="10.7109375" style="367" customWidth="1"/>
    <col min="10761" max="10761" width="10" style="367" customWidth="1"/>
    <col min="10762" max="10762" width="10.7109375" style="367" customWidth="1"/>
    <col min="10763" max="10763" width="12.85546875" style="367" customWidth="1"/>
    <col min="10764" max="10764" width="11.42578125" style="367" customWidth="1"/>
    <col min="10765" max="10765" width="9.28515625" style="367" customWidth="1"/>
    <col min="10766" max="10766" width="11.5703125" style="367" customWidth="1"/>
    <col min="10767" max="10767" width="11.28515625" style="367" customWidth="1"/>
    <col min="10768" max="10768" width="11.7109375" style="367" customWidth="1"/>
    <col min="10769" max="10769" width="12" style="367" customWidth="1"/>
    <col min="10770" max="10770" width="11.7109375" style="367" customWidth="1"/>
    <col min="10771" max="10772" width="12" style="367" customWidth="1"/>
    <col min="10773" max="10773" width="13.85546875" style="367" customWidth="1"/>
    <col min="10774" max="10774" width="14.28515625" style="367" customWidth="1"/>
    <col min="10775" max="11008" width="9.140625" style="367"/>
    <col min="11009" max="11009" width="7.85546875" style="367" customWidth="1"/>
    <col min="11010" max="11010" width="13.28515625" style="367" customWidth="1"/>
    <col min="11011" max="11011" width="21.42578125" style="367" customWidth="1"/>
    <col min="11012" max="11012" width="20.28515625" style="367" customWidth="1"/>
    <col min="11013" max="11013" width="16.85546875" style="367" customWidth="1"/>
    <col min="11014" max="11014" width="19.28515625" style="367" customWidth="1"/>
    <col min="11015" max="11016" width="10.7109375" style="367" customWidth="1"/>
    <col min="11017" max="11017" width="10" style="367" customWidth="1"/>
    <col min="11018" max="11018" width="10.7109375" style="367" customWidth="1"/>
    <col min="11019" max="11019" width="12.85546875" style="367" customWidth="1"/>
    <col min="11020" max="11020" width="11.42578125" style="367" customWidth="1"/>
    <col min="11021" max="11021" width="9.28515625" style="367" customWidth="1"/>
    <col min="11022" max="11022" width="11.5703125" style="367" customWidth="1"/>
    <col min="11023" max="11023" width="11.28515625" style="367" customWidth="1"/>
    <col min="11024" max="11024" width="11.7109375" style="367" customWidth="1"/>
    <col min="11025" max="11025" width="12" style="367" customWidth="1"/>
    <col min="11026" max="11026" width="11.7109375" style="367" customWidth="1"/>
    <col min="11027" max="11028" width="12" style="367" customWidth="1"/>
    <col min="11029" max="11029" width="13.85546875" style="367" customWidth="1"/>
    <col min="11030" max="11030" width="14.28515625" style="367" customWidth="1"/>
    <col min="11031" max="11264" width="9.140625" style="367"/>
    <col min="11265" max="11265" width="7.85546875" style="367" customWidth="1"/>
    <col min="11266" max="11266" width="13.28515625" style="367" customWidth="1"/>
    <col min="11267" max="11267" width="21.42578125" style="367" customWidth="1"/>
    <col min="11268" max="11268" width="20.28515625" style="367" customWidth="1"/>
    <col min="11269" max="11269" width="16.85546875" style="367" customWidth="1"/>
    <col min="11270" max="11270" width="19.28515625" style="367" customWidth="1"/>
    <col min="11271" max="11272" width="10.7109375" style="367" customWidth="1"/>
    <col min="11273" max="11273" width="10" style="367" customWidth="1"/>
    <col min="11274" max="11274" width="10.7109375" style="367" customWidth="1"/>
    <col min="11275" max="11275" width="12.85546875" style="367" customWidth="1"/>
    <col min="11276" max="11276" width="11.42578125" style="367" customWidth="1"/>
    <col min="11277" max="11277" width="9.28515625" style="367" customWidth="1"/>
    <col min="11278" max="11278" width="11.5703125" style="367" customWidth="1"/>
    <col min="11279" max="11279" width="11.28515625" style="367" customWidth="1"/>
    <col min="11280" max="11280" width="11.7109375" style="367" customWidth="1"/>
    <col min="11281" max="11281" width="12" style="367" customWidth="1"/>
    <col min="11282" max="11282" width="11.7109375" style="367" customWidth="1"/>
    <col min="11283" max="11284" width="12" style="367" customWidth="1"/>
    <col min="11285" max="11285" width="13.85546875" style="367" customWidth="1"/>
    <col min="11286" max="11286" width="14.28515625" style="367" customWidth="1"/>
    <col min="11287" max="11520" width="9.140625" style="367"/>
    <col min="11521" max="11521" width="7.85546875" style="367" customWidth="1"/>
    <col min="11522" max="11522" width="13.28515625" style="367" customWidth="1"/>
    <col min="11523" max="11523" width="21.42578125" style="367" customWidth="1"/>
    <col min="11524" max="11524" width="20.28515625" style="367" customWidth="1"/>
    <col min="11525" max="11525" width="16.85546875" style="367" customWidth="1"/>
    <col min="11526" max="11526" width="19.28515625" style="367" customWidth="1"/>
    <col min="11527" max="11528" width="10.7109375" style="367" customWidth="1"/>
    <col min="11529" max="11529" width="10" style="367" customWidth="1"/>
    <col min="11530" max="11530" width="10.7109375" style="367" customWidth="1"/>
    <col min="11531" max="11531" width="12.85546875" style="367" customWidth="1"/>
    <col min="11532" max="11532" width="11.42578125" style="367" customWidth="1"/>
    <col min="11533" max="11533" width="9.28515625" style="367" customWidth="1"/>
    <col min="11534" max="11534" width="11.5703125" style="367" customWidth="1"/>
    <col min="11535" max="11535" width="11.28515625" style="367" customWidth="1"/>
    <col min="11536" max="11536" width="11.7109375" style="367" customWidth="1"/>
    <col min="11537" max="11537" width="12" style="367" customWidth="1"/>
    <col min="11538" max="11538" width="11.7109375" style="367" customWidth="1"/>
    <col min="11539" max="11540" width="12" style="367" customWidth="1"/>
    <col min="11541" max="11541" width="13.85546875" style="367" customWidth="1"/>
    <col min="11542" max="11542" width="14.28515625" style="367" customWidth="1"/>
    <col min="11543" max="11776" width="9.140625" style="367"/>
    <col min="11777" max="11777" width="7.85546875" style="367" customWidth="1"/>
    <col min="11778" max="11778" width="13.28515625" style="367" customWidth="1"/>
    <col min="11779" max="11779" width="21.42578125" style="367" customWidth="1"/>
    <col min="11780" max="11780" width="20.28515625" style="367" customWidth="1"/>
    <col min="11781" max="11781" width="16.85546875" style="367" customWidth="1"/>
    <col min="11782" max="11782" width="19.28515625" style="367" customWidth="1"/>
    <col min="11783" max="11784" width="10.7109375" style="367" customWidth="1"/>
    <col min="11785" max="11785" width="10" style="367" customWidth="1"/>
    <col min="11786" max="11786" width="10.7109375" style="367" customWidth="1"/>
    <col min="11787" max="11787" width="12.85546875" style="367" customWidth="1"/>
    <col min="11788" max="11788" width="11.42578125" style="367" customWidth="1"/>
    <col min="11789" max="11789" width="9.28515625" style="367" customWidth="1"/>
    <col min="11790" max="11790" width="11.5703125" style="367" customWidth="1"/>
    <col min="11791" max="11791" width="11.28515625" style="367" customWidth="1"/>
    <col min="11792" max="11792" width="11.7109375" style="367" customWidth="1"/>
    <col min="11793" max="11793" width="12" style="367" customWidth="1"/>
    <col min="11794" max="11794" width="11.7109375" style="367" customWidth="1"/>
    <col min="11795" max="11796" width="12" style="367" customWidth="1"/>
    <col min="11797" max="11797" width="13.85546875" style="367" customWidth="1"/>
    <col min="11798" max="11798" width="14.28515625" style="367" customWidth="1"/>
    <col min="11799" max="12032" width="9.140625" style="367"/>
    <col min="12033" max="12033" width="7.85546875" style="367" customWidth="1"/>
    <col min="12034" max="12034" width="13.28515625" style="367" customWidth="1"/>
    <col min="12035" max="12035" width="21.42578125" style="367" customWidth="1"/>
    <col min="12036" max="12036" width="20.28515625" style="367" customWidth="1"/>
    <col min="12037" max="12037" width="16.85546875" style="367" customWidth="1"/>
    <col min="12038" max="12038" width="19.28515625" style="367" customWidth="1"/>
    <col min="12039" max="12040" width="10.7109375" style="367" customWidth="1"/>
    <col min="12041" max="12041" width="10" style="367" customWidth="1"/>
    <col min="12042" max="12042" width="10.7109375" style="367" customWidth="1"/>
    <col min="12043" max="12043" width="12.85546875" style="367" customWidth="1"/>
    <col min="12044" max="12044" width="11.42578125" style="367" customWidth="1"/>
    <col min="12045" max="12045" width="9.28515625" style="367" customWidth="1"/>
    <col min="12046" max="12046" width="11.5703125" style="367" customWidth="1"/>
    <col min="12047" max="12047" width="11.28515625" style="367" customWidth="1"/>
    <col min="12048" max="12048" width="11.7109375" style="367" customWidth="1"/>
    <col min="12049" max="12049" width="12" style="367" customWidth="1"/>
    <col min="12050" max="12050" width="11.7109375" style="367" customWidth="1"/>
    <col min="12051" max="12052" width="12" style="367" customWidth="1"/>
    <col min="12053" max="12053" width="13.85546875" style="367" customWidth="1"/>
    <col min="12054" max="12054" width="14.28515625" style="367" customWidth="1"/>
    <col min="12055" max="12288" width="9.140625" style="367"/>
    <col min="12289" max="12289" width="7.85546875" style="367" customWidth="1"/>
    <col min="12290" max="12290" width="13.28515625" style="367" customWidth="1"/>
    <col min="12291" max="12291" width="21.42578125" style="367" customWidth="1"/>
    <col min="12292" max="12292" width="20.28515625" style="367" customWidth="1"/>
    <col min="12293" max="12293" width="16.85546875" style="367" customWidth="1"/>
    <col min="12294" max="12294" width="19.28515625" style="367" customWidth="1"/>
    <col min="12295" max="12296" width="10.7109375" style="367" customWidth="1"/>
    <col min="12297" max="12297" width="10" style="367" customWidth="1"/>
    <col min="12298" max="12298" width="10.7109375" style="367" customWidth="1"/>
    <col min="12299" max="12299" width="12.85546875" style="367" customWidth="1"/>
    <col min="12300" max="12300" width="11.42578125" style="367" customWidth="1"/>
    <col min="12301" max="12301" width="9.28515625" style="367" customWidth="1"/>
    <col min="12302" max="12302" width="11.5703125" style="367" customWidth="1"/>
    <col min="12303" max="12303" width="11.28515625" style="367" customWidth="1"/>
    <col min="12304" max="12304" width="11.7109375" style="367" customWidth="1"/>
    <col min="12305" max="12305" width="12" style="367" customWidth="1"/>
    <col min="12306" max="12306" width="11.7109375" style="367" customWidth="1"/>
    <col min="12307" max="12308" width="12" style="367" customWidth="1"/>
    <col min="12309" max="12309" width="13.85546875" style="367" customWidth="1"/>
    <col min="12310" max="12310" width="14.28515625" style="367" customWidth="1"/>
    <col min="12311" max="12544" width="9.140625" style="367"/>
    <col min="12545" max="12545" width="7.85546875" style="367" customWidth="1"/>
    <col min="12546" max="12546" width="13.28515625" style="367" customWidth="1"/>
    <col min="12547" max="12547" width="21.42578125" style="367" customWidth="1"/>
    <col min="12548" max="12548" width="20.28515625" style="367" customWidth="1"/>
    <col min="12549" max="12549" width="16.85546875" style="367" customWidth="1"/>
    <col min="12550" max="12550" width="19.28515625" style="367" customWidth="1"/>
    <col min="12551" max="12552" width="10.7109375" style="367" customWidth="1"/>
    <col min="12553" max="12553" width="10" style="367" customWidth="1"/>
    <col min="12554" max="12554" width="10.7109375" style="367" customWidth="1"/>
    <col min="12555" max="12555" width="12.85546875" style="367" customWidth="1"/>
    <col min="12556" max="12556" width="11.42578125" style="367" customWidth="1"/>
    <col min="12557" max="12557" width="9.28515625" style="367" customWidth="1"/>
    <col min="12558" max="12558" width="11.5703125" style="367" customWidth="1"/>
    <col min="12559" max="12559" width="11.28515625" style="367" customWidth="1"/>
    <col min="12560" max="12560" width="11.7109375" style="367" customWidth="1"/>
    <col min="12561" max="12561" width="12" style="367" customWidth="1"/>
    <col min="12562" max="12562" width="11.7109375" style="367" customWidth="1"/>
    <col min="12563" max="12564" width="12" style="367" customWidth="1"/>
    <col min="12565" max="12565" width="13.85546875" style="367" customWidth="1"/>
    <col min="12566" max="12566" width="14.28515625" style="367" customWidth="1"/>
    <col min="12567" max="12800" width="9.140625" style="367"/>
    <col min="12801" max="12801" width="7.85546875" style="367" customWidth="1"/>
    <col min="12802" max="12802" width="13.28515625" style="367" customWidth="1"/>
    <col min="12803" max="12803" width="21.42578125" style="367" customWidth="1"/>
    <col min="12804" max="12804" width="20.28515625" style="367" customWidth="1"/>
    <col min="12805" max="12805" width="16.85546875" style="367" customWidth="1"/>
    <col min="12806" max="12806" width="19.28515625" style="367" customWidth="1"/>
    <col min="12807" max="12808" width="10.7109375" style="367" customWidth="1"/>
    <col min="12809" max="12809" width="10" style="367" customWidth="1"/>
    <col min="12810" max="12810" width="10.7109375" style="367" customWidth="1"/>
    <col min="12811" max="12811" width="12.85546875" style="367" customWidth="1"/>
    <col min="12812" max="12812" width="11.42578125" style="367" customWidth="1"/>
    <col min="12813" max="12813" width="9.28515625" style="367" customWidth="1"/>
    <col min="12814" max="12814" width="11.5703125" style="367" customWidth="1"/>
    <col min="12815" max="12815" width="11.28515625" style="367" customWidth="1"/>
    <col min="12816" max="12816" width="11.7109375" style="367" customWidth="1"/>
    <col min="12817" max="12817" width="12" style="367" customWidth="1"/>
    <col min="12818" max="12818" width="11.7109375" style="367" customWidth="1"/>
    <col min="12819" max="12820" width="12" style="367" customWidth="1"/>
    <col min="12821" max="12821" width="13.85546875" style="367" customWidth="1"/>
    <col min="12822" max="12822" width="14.28515625" style="367" customWidth="1"/>
    <col min="12823" max="13056" width="9.140625" style="367"/>
    <col min="13057" max="13057" width="7.85546875" style="367" customWidth="1"/>
    <col min="13058" max="13058" width="13.28515625" style="367" customWidth="1"/>
    <col min="13059" max="13059" width="21.42578125" style="367" customWidth="1"/>
    <col min="13060" max="13060" width="20.28515625" style="367" customWidth="1"/>
    <col min="13061" max="13061" width="16.85546875" style="367" customWidth="1"/>
    <col min="13062" max="13062" width="19.28515625" style="367" customWidth="1"/>
    <col min="13063" max="13064" width="10.7109375" style="367" customWidth="1"/>
    <col min="13065" max="13065" width="10" style="367" customWidth="1"/>
    <col min="13066" max="13066" width="10.7109375" style="367" customWidth="1"/>
    <col min="13067" max="13067" width="12.85546875" style="367" customWidth="1"/>
    <col min="13068" max="13068" width="11.42578125" style="367" customWidth="1"/>
    <col min="13069" max="13069" width="9.28515625" style="367" customWidth="1"/>
    <col min="13070" max="13070" width="11.5703125" style="367" customWidth="1"/>
    <col min="13071" max="13071" width="11.28515625" style="367" customWidth="1"/>
    <col min="13072" max="13072" width="11.7109375" style="367" customWidth="1"/>
    <col min="13073" max="13073" width="12" style="367" customWidth="1"/>
    <col min="13074" max="13074" width="11.7109375" style="367" customWidth="1"/>
    <col min="13075" max="13076" width="12" style="367" customWidth="1"/>
    <col min="13077" max="13077" width="13.85546875" style="367" customWidth="1"/>
    <col min="13078" max="13078" width="14.28515625" style="367" customWidth="1"/>
    <col min="13079" max="13312" width="9.140625" style="367"/>
    <col min="13313" max="13313" width="7.85546875" style="367" customWidth="1"/>
    <col min="13314" max="13314" width="13.28515625" style="367" customWidth="1"/>
    <col min="13315" max="13315" width="21.42578125" style="367" customWidth="1"/>
    <col min="13316" max="13316" width="20.28515625" style="367" customWidth="1"/>
    <col min="13317" max="13317" width="16.85546875" style="367" customWidth="1"/>
    <col min="13318" max="13318" width="19.28515625" style="367" customWidth="1"/>
    <col min="13319" max="13320" width="10.7109375" style="367" customWidth="1"/>
    <col min="13321" max="13321" width="10" style="367" customWidth="1"/>
    <col min="13322" max="13322" width="10.7109375" style="367" customWidth="1"/>
    <col min="13323" max="13323" width="12.85546875" style="367" customWidth="1"/>
    <col min="13324" max="13324" width="11.42578125" style="367" customWidth="1"/>
    <col min="13325" max="13325" width="9.28515625" style="367" customWidth="1"/>
    <col min="13326" max="13326" width="11.5703125" style="367" customWidth="1"/>
    <col min="13327" max="13327" width="11.28515625" style="367" customWidth="1"/>
    <col min="13328" max="13328" width="11.7109375" style="367" customWidth="1"/>
    <col min="13329" max="13329" width="12" style="367" customWidth="1"/>
    <col min="13330" max="13330" width="11.7109375" style="367" customWidth="1"/>
    <col min="13331" max="13332" width="12" style="367" customWidth="1"/>
    <col min="13333" max="13333" width="13.85546875" style="367" customWidth="1"/>
    <col min="13334" max="13334" width="14.28515625" style="367" customWidth="1"/>
    <col min="13335" max="13568" width="9.140625" style="367"/>
    <col min="13569" max="13569" width="7.85546875" style="367" customWidth="1"/>
    <col min="13570" max="13570" width="13.28515625" style="367" customWidth="1"/>
    <col min="13571" max="13571" width="21.42578125" style="367" customWidth="1"/>
    <col min="13572" max="13572" width="20.28515625" style="367" customWidth="1"/>
    <col min="13573" max="13573" width="16.85546875" style="367" customWidth="1"/>
    <col min="13574" max="13574" width="19.28515625" style="367" customWidth="1"/>
    <col min="13575" max="13576" width="10.7109375" style="367" customWidth="1"/>
    <col min="13577" max="13577" width="10" style="367" customWidth="1"/>
    <col min="13578" max="13578" width="10.7109375" style="367" customWidth="1"/>
    <col min="13579" max="13579" width="12.85546875" style="367" customWidth="1"/>
    <col min="13580" max="13580" width="11.42578125" style="367" customWidth="1"/>
    <col min="13581" max="13581" width="9.28515625" style="367" customWidth="1"/>
    <col min="13582" max="13582" width="11.5703125" style="367" customWidth="1"/>
    <col min="13583" max="13583" width="11.28515625" style="367" customWidth="1"/>
    <col min="13584" max="13584" width="11.7109375" style="367" customWidth="1"/>
    <col min="13585" max="13585" width="12" style="367" customWidth="1"/>
    <col min="13586" max="13586" width="11.7109375" style="367" customWidth="1"/>
    <col min="13587" max="13588" width="12" style="367" customWidth="1"/>
    <col min="13589" max="13589" width="13.85546875" style="367" customWidth="1"/>
    <col min="13590" max="13590" width="14.28515625" style="367" customWidth="1"/>
    <col min="13591" max="13824" width="9.140625" style="367"/>
    <col min="13825" max="13825" width="7.85546875" style="367" customWidth="1"/>
    <col min="13826" max="13826" width="13.28515625" style="367" customWidth="1"/>
    <col min="13827" max="13827" width="21.42578125" style="367" customWidth="1"/>
    <col min="13828" max="13828" width="20.28515625" style="367" customWidth="1"/>
    <col min="13829" max="13829" width="16.85546875" style="367" customWidth="1"/>
    <col min="13830" max="13830" width="19.28515625" style="367" customWidth="1"/>
    <col min="13831" max="13832" width="10.7109375" style="367" customWidth="1"/>
    <col min="13833" max="13833" width="10" style="367" customWidth="1"/>
    <col min="13834" max="13834" width="10.7109375" style="367" customWidth="1"/>
    <col min="13835" max="13835" width="12.85546875" style="367" customWidth="1"/>
    <col min="13836" max="13836" width="11.42578125" style="367" customWidth="1"/>
    <col min="13837" max="13837" width="9.28515625" style="367" customWidth="1"/>
    <col min="13838" max="13838" width="11.5703125" style="367" customWidth="1"/>
    <col min="13839" max="13839" width="11.28515625" style="367" customWidth="1"/>
    <col min="13840" max="13840" width="11.7109375" style="367" customWidth="1"/>
    <col min="13841" max="13841" width="12" style="367" customWidth="1"/>
    <col min="13842" max="13842" width="11.7109375" style="367" customWidth="1"/>
    <col min="13843" max="13844" width="12" style="367" customWidth="1"/>
    <col min="13845" max="13845" width="13.85546875" style="367" customWidth="1"/>
    <col min="13846" max="13846" width="14.28515625" style="367" customWidth="1"/>
    <col min="13847" max="14080" width="9.140625" style="367"/>
    <col min="14081" max="14081" width="7.85546875" style="367" customWidth="1"/>
    <col min="14082" max="14082" width="13.28515625" style="367" customWidth="1"/>
    <col min="14083" max="14083" width="21.42578125" style="367" customWidth="1"/>
    <col min="14084" max="14084" width="20.28515625" style="367" customWidth="1"/>
    <col min="14085" max="14085" width="16.85546875" style="367" customWidth="1"/>
    <col min="14086" max="14086" width="19.28515625" style="367" customWidth="1"/>
    <col min="14087" max="14088" width="10.7109375" style="367" customWidth="1"/>
    <col min="14089" max="14089" width="10" style="367" customWidth="1"/>
    <col min="14090" max="14090" width="10.7109375" style="367" customWidth="1"/>
    <col min="14091" max="14091" width="12.85546875" style="367" customWidth="1"/>
    <col min="14092" max="14092" width="11.42578125" style="367" customWidth="1"/>
    <col min="14093" max="14093" width="9.28515625" style="367" customWidth="1"/>
    <col min="14094" max="14094" width="11.5703125" style="367" customWidth="1"/>
    <col min="14095" max="14095" width="11.28515625" style="367" customWidth="1"/>
    <col min="14096" max="14096" width="11.7109375" style="367" customWidth="1"/>
    <col min="14097" max="14097" width="12" style="367" customWidth="1"/>
    <col min="14098" max="14098" width="11.7109375" style="367" customWidth="1"/>
    <col min="14099" max="14100" width="12" style="367" customWidth="1"/>
    <col min="14101" max="14101" width="13.85546875" style="367" customWidth="1"/>
    <col min="14102" max="14102" width="14.28515625" style="367" customWidth="1"/>
    <col min="14103" max="14336" width="9.140625" style="367"/>
    <col min="14337" max="14337" width="7.85546875" style="367" customWidth="1"/>
    <col min="14338" max="14338" width="13.28515625" style="367" customWidth="1"/>
    <col min="14339" max="14339" width="21.42578125" style="367" customWidth="1"/>
    <col min="14340" max="14340" width="20.28515625" style="367" customWidth="1"/>
    <col min="14341" max="14341" width="16.85546875" style="367" customWidth="1"/>
    <col min="14342" max="14342" width="19.28515625" style="367" customWidth="1"/>
    <col min="14343" max="14344" width="10.7109375" style="367" customWidth="1"/>
    <col min="14345" max="14345" width="10" style="367" customWidth="1"/>
    <col min="14346" max="14346" width="10.7109375" style="367" customWidth="1"/>
    <col min="14347" max="14347" width="12.85546875" style="367" customWidth="1"/>
    <col min="14348" max="14348" width="11.42578125" style="367" customWidth="1"/>
    <col min="14349" max="14349" width="9.28515625" style="367" customWidth="1"/>
    <col min="14350" max="14350" width="11.5703125" style="367" customWidth="1"/>
    <col min="14351" max="14351" width="11.28515625" style="367" customWidth="1"/>
    <col min="14352" max="14352" width="11.7109375" style="367" customWidth="1"/>
    <col min="14353" max="14353" width="12" style="367" customWidth="1"/>
    <col min="14354" max="14354" width="11.7109375" style="367" customWidth="1"/>
    <col min="14355" max="14356" width="12" style="367" customWidth="1"/>
    <col min="14357" max="14357" width="13.85546875" style="367" customWidth="1"/>
    <col min="14358" max="14358" width="14.28515625" style="367" customWidth="1"/>
    <col min="14359" max="14592" width="9.140625" style="367"/>
    <col min="14593" max="14593" width="7.85546875" style="367" customWidth="1"/>
    <col min="14594" max="14594" width="13.28515625" style="367" customWidth="1"/>
    <col min="14595" max="14595" width="21.42578125" style="367" customWidth="1"/>
    <col min="14596" max="14596" width="20.28515625" style="367" customWidth="1"/>
    <col min="14597" max="14597" width="16.85546875" style="367" customWidth="1"/>
    <col min="14598" max="14598" width="19.28515625" style="367" customWidth="1"/>
    <col min="14599" max="14600" width="10.7109375" style="367" customWidth="1"/>
    <col min="14601" max="14601" width="10" style="367" customWidth="1"/>
    <col min="14602" max="14602" width="10.7109375" style="367" customWidth="1"/>
    <col min="14603" max="14603" width="12.85546875" style="367" customWidth="1"/>
    <col min="14604" max="14604" width="11.42578125" style="367" customWidth="1"/>
    <col min="14605" max="14605" width="9.28515625" style="367" customWidth="1"/>
    <col min="14606" max="14606" width="11.5703125" style="367" customWidth="1"/>
    <col min="14607" max="14607" width="11.28515625" style="367" customWidth="1"/>
    <col min="14608" max="14608" width="11.7109375" style="367" customWidth="1"/>
    <col min="14609" max="14609" width="12" style="367" customWidth="1"/>
    <col min="14610" max="14610" width="11.7109375" style="367" customWidth="1"/>
    <col min="14611" max="14612" width="12" style="367" customWidth="1"/>
    <col min="14613" max="14613" width="13.85546875" style="367" customWidth="1"/>
    <col min="14614" max="14614" width="14.28515625" style="367" customWidth="1"/>
    <col min="14615" max="14848" width="9.140625" style="367"/>
    <col min="14849" max="14849" width="7.85546875" style="367" customWidth="1"/>
    <col min="14850" max="14850" width="13.28515625" style="367" customWidth="1"/>
    <col min="14851" max="14851" width="21.42578125" style="367" customWidth="1"/>
    <col min="14852" max="14852" width="20.28515625" style="367" customWidth="1"/>
    <col min="14853" max="14853" width="16.85546875" style="367" customWidth="1"/>
    <col min="14854" max="14854" width="19.28515625" style="367" customWidth="1"/>
    <col min="14855" max="14856" width="10.7109375" style="367" customWidth="1"/>
    <col min="14857" max="14857" width="10" style="367" customWidth="1"/>
    <col min="14858" max="14858" width="10.7109375" style="367" customWidth="1"/>
    <col min="14859" max="14859" width="12.85546875" style="367" customWidth="1"/>
    <col min="14860" max="14860" width="11.42578125" style="367" customWidth="1"/>
    <col min="14861" max="14861" width="9.28515625" style="367" customWidth="1"/>
    <col min="14862" max="14862" width="11.5703125" style="367" customWidth="1"/>
    <col min="14863" max="14863" width="11.28515625" style="367" customWidth="1"/>
    <col min="14864" max="14864" width="11.7109375" style="367" customWidth="1"/>
    <col min="14865" max="14865" width="12" style="367" customWidth="1"/>
    <col min="14866" max="14866" width="11.7109375" style="367" customWidth="1"/>
    <col min="14867" max="14868" width="12" style="367" customWidth="1"/>
    <col min="14869" max="14869" width="13.85546875" style="367" customWidth="1"/>
    <col min="14870" max="14870" width="14.28515625" style="367" customWidth="1"/>
    <col min="14871" max="15104" width="9.140625" style="367"/>
    <col min="15105" max="15105" width="7.85546875" style="367" customWidth="1"/>
    <col min="15106" max="15106" width="13.28515625" style="367" customWidth="1"/>
    <col min="15107" max="15107" width="21.42578125" style="367" customWidth="1"/>
    <col min="15108" max="15108" width="20.28515625" style="367" customWidth="1"/>
    <col min="15109" max="15109" width="16.85546875" style="367" customWidth="1"/>
    <col min="15110" max="15110" width="19.28515625" style="367" customWidth="1"/>
    <col min="15111" max="15112" width="10.7109375" style="367" customWidth="1"/>
    <col min="15113" max="15113" width="10" style="367" customWidth="1"/>
    <col min="15114" max="15114" width="10.7109375" style="367" customWidth="1"/>
    <col min="15115" max="15115" width="12.85546875" style="367" customWidth="1"/>
    <col min="15116" max="15116" width="11.42578125" style="367" customWidth="1"/>
    <col min="15117" max="15117" width="9.28515625" style="367" customWidth="1"/>
    <col min="15118" max="15118" width="11.5703125" style="367" customWidth="1"/>
    <col min="15119" max="15119" width="11.28515625" style="367" customWidth="1"/>
    <col min="15120" max="15120" width="11.7109375" style="367" customWidth="1"/>
    <col min="15121" max="15121" width="12" style="367" customWidth="1"/>
    <col min="15122" max="15122" width="11.7109375" style="367" customWidth="1"/>
    <col min="15123" max="15124" width="12" style="367" customWidth="1"/>
    <col min="15125" max="15125" width="13.85546875" style="367" customWidth="1"/>
    <col min="15126" max="15126" width="14.28515625" style="367" customWidth="1"/>
    <col min="15127" max="15360" width="9.140625" style="367"/>
    <col min="15361" max="15361" width="7.85546875" style="367" customWidth="1"/>
    <col min="15362" max="15362" width="13.28515625" style="367" customWidth="1"/>
    <col min="15363" max="15363" width="21.42578125" style="367" customWidth="1"/>
    <col min="15364" max="15364" width="20.28515625" style="367" customWidth="1"/>
    <col min="15365" max="15365" width="16.85546875" style="367" customWidth="1"/>
    <col min="15366" max="15366" width="19.28515625" style="367" customWidth="1"/>
    <col min="15367" max="15368" width="10.7109375" style="367" customWidth="1"/>
    <col min="15369" max="15369" width="10" style="367" customWidth="1"/>
    <col min="15370" max="15370" width="10.7109375" style="367" customWidth="1"/>
    <col min="15371" max="15371" width="12.85546875" style="367" customWidth="1"/>
    <col min="15372" max="15372" width="11.42578125" style="367" customWidth="1"/>
    <col min="15373" max="15373" width="9.28515625" style="367" customWidth="1"/>
    <col min="15374" max="15374" width="11.5703125" style="367" customWidth="1"/>
    <col min="15375" max="15375" width="11.28515625" style="367" customWidth="1"/>
    <col min="15376" max="15376" width="11.7109375" style="367" customWidth="1"/>
    <col min="15377" max="15377" width="12" style="367" customWidth="1"/>
    <col min="15378" max="15378" width="11.7109375" style="367" customWidth="1"/>
    <col min="15379" max="15380" width="12" style="367" customWidth="1"/>
    <col min="15381" max="15381" width="13.85546875" style="367" customWidth="1"/>
    <col min="15382" max="15382" width="14.28515625" style="367" customWidth="1"/>
    <col min="15383" max="15616" width="9.140625" style="367"/>
    <col min="15617" max="15617" width="7.85546875" style="367" customWidth="1"/>
    <col min="15618" max="15618" width="13.28515625" style="367" customWidth="1"/>
    <col min="15619" max="15619" width="21.42578125" style="367" customWidth="1"/>
    <col min="15620" max="15620" width="20.28515625" style="367" customWidth="1"/>
    <col min="15621" max="15621" width="16.85546875" style="367" customWidth="1"/>
    <col min="15622" max="15622" width="19.28515625" style="367" customWidth="1"/>
    <col min="15623" max="15624" width="10.7109375" style="367" customWidth="1"/>
    <col min="15625" max="15625" width="10" style="367" customWidth="1"/>
    <col min="15626" max="15626" width="10.7109375" style="367" customWidth="1"/>
    <col min="15627" max="15627" width="12.85546875" style="367" customWidth="1"/>
    <col min="15628" max="15628" width="11.42578125" style="367" customWidth="1"/>
    <col min="15629" max="15629" width="9.28515625" style="367" customWidth="1"/>
    <col min="15630" max="15630" width="11.5703125" style="367" customWidth="1"/>
    <col min="15631" max="15631" width="11.28515625" style="367" customWidth="1"/>
    <col min="15632" max="15632" width="11.7109375" style="367" customWidth="1"/>
    <col min="15633" max="15633" width="12" style="367" customWidth="1"/>
    <col min="15634" max="15634" width="11.7109375" style="367" customWidth="1"/>
    <col min="15635" max="15636" width="12" style="367" customWidth="1"/>
    <col min="15637" max="15637" width="13.85546875" style="367" customWidth="1"/>
    <col min="15638" max="15638" width="14.28515625" style="367" customWidth="1"/>
    <col min="15639" max="15872" width="9.140625" style="367"/>
    <col min="15873" max="15873" width="7.85546875" style="367" customWidth="1"/>
    <col min="15874" max="15874" width="13.28515625" style="367" customWidth="1"/>
    <col min="15875" max="15875" width="21.42578125" style="367" customWidth="1"/>
    <col min="15876" max="15876" width="20.28515625" style="367" customWidth="1"/>
    <col min="15877" max="15877" width="16.85546875" style="367" customWidth="1"/>
    <col min="15878" max="15878" width="19.28515625" style="367" customWidth="1"/>
    <col min="15879" max="15880" width="10.7109375" style="367" customWidth="1"/>
    <col min="15881" max="15881" width="10" style="367" customWidth="1"/>
    <col min="15882" max="15882" width="10.7109375" style="367" customWidth="1"/>
    <col min="15883" max="15883" width="12.85546875" style="367" customWidth="1"/>
    <col min="15884" max="15884" width="11.42578125" style="367" customWidth="1"/>
    <col min="15885" max="15885" width="9.28515625" style="367" customWidth="1"/>
    <col min="15886" max="15886" width="11.5703125" style="367" customWidth="1"/>
    <col min="15887" max="15887" width="11.28515625" style="367" customWidth="1"/>
    <col min="15888" max="15888" width="11.7109375" style="367" customWidth="1"/>
    <col min="15889" max="15889" width="12" style="367" customWidth="1"/>
    <col min="15890" max="15890" width="11.7109375" style="367" customWidth="1"/>
    <col min="15891" max="15892" width="12" style="367" customWidth="1"/>
    <col min="15893" max="15893" width="13.85546875" style="367" customWidth="1"/>
    <col min="15894" max="15894" width="14.28515625" style="367" customWidth="1"/>
    <col min="15895" max="16128" width="9.140625" style="367"/>
    <col min="16129" max="16129" width="7.85546875" style="367" customWidth="1"/>
    <col min="16130" max="16130" width="13.28515625" style="367" customWidth="1"/>
    <col min="16131" max="16131" width="21.42578125" style="367" customWidth="1"/>
    <col min="16132" max="16132" width="20.28515625" style="367" customWidth="1"/>
    <col min="16133" max="16133" width="16.85546875" style="367" customWidth="1"/>
    <col min="16134" max="16134" width="19.28515625" style="367" customWidth="1"/>
    <col min="16135" max="16136" width="10.7109375" style="367" customWidth="1"/>
    <col min="16137" max="16137" width="10" style="367" customWidth="1"/>
    <col min="16138" max="16138" width="10.7109375" style="367" customWidth="1"/>
    <col min="16139" max="16139" width="12.85546875" style="367" customWidth="1"/>
    <col min="16140" max="16140" width="11.42578125" style="367" customWidth="1"/>
    <col min="16141" max="16141" width="9.28515625" style="367" customWidth="1"/>
    <col min="16142" max="16142" width="11.5703125" style="367" customWidth="1"/>
    <col min="16143" max="16143" width="11.28515625" style="367" customWidth="1"/>
    <col min="16144" max="16144" width="11.7109375" style="367" customWidth="1"/>
    <col min="16145" max="16145" width="12" style="367" customWidth="1"/>
    <col min="16146" max="16146" width="11.7109375" style="367" customWidth="1"/>
    <col min="16147" max="16148" width="12" style="367" customWidth="1"/>
    <col min="16149" max="16149" width="13.85546875" style="367" customWidth="1"/>
    <col min="16150" max="16150" width="14.28515625" style="367" customWidth="1"/>
    <col min="16151" max="16384" width="9.140625" style="367"/>
  </cols>
  <sheetData>
    <row r="1" spans="1:22" s="314" customFormat="1" ht="26.25">
      <c r="A1" s="682" t="s">
        <v>788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  <c r="R1" s="682"/>
      <c r="S1" s="682"/>
      <c r="T1" s="682"/>
      <c r="U1" s="682"/>
      <c r="V1" s="682"/>
    </row>
    <row r="2" spans="1:22" s="314" customFormat="1">
      <c r="A2" s="452"/>
      <c r="B2" s="453"/>
    </row>
    <row r="3" spans="1:22" s="454" customFormat="1" ht="18.75">
      <c r="A3" s="683" t="s">
        <v>417</v>
      </c>
      <c r="B3" s="683" t="s">
        <v>1</v>
      </c>
      <c r="C3" s="681" t="s">
        <v>2</v>
      </c>
      <c r="D3" s="681" t="s">
        <v>3</v>
      </c>
      <c r="E3" s="681" t="s">
        <v>418</v>
      </c>
      <c r="F3" s="681" t="s">
        <v>4</v>
      </c>
      <c r="G3" s="681" t="s">
        <v>5</v>
      </c>
      <c r="H3" s="681" t="s">
        <v>419</v>
      </c>
      <c r="I3" s="681" t="s">
        <v>420</v>
      </c>
      <c r="J3" s="681" t="s">
        <v>421</v>
      </c>
      <c r="K3" s="685" t="s">
        <v>422</v>
      </c>
      <c r="L3" s="686"/>
      <c r="M3" s="686"/>
      <c r="N3" s="687"/>
      <c r="O3" s="688" t="s">
        <v>423</v>
      </c>
      <c r="P3" s="681" t="s">
        <v>9</v>
      </c>
      <c r="Q3" s="681" t="s">
        <v>791</v>
      </c>
      <c r="R3" s="681" t="s">
        <v>792</v>
      </c>
      <c r="S3" s="681" t="s">
        <v>793</v>
      </c>
      <c r="T3" s="681" t="s">
        <v>794</v>
      </c>
      <c r="U3" s="681" t="s">
        <v>424</v>
      </c>
      <c r="V3" s="681" t="s">
        <v>425</v>
      </c>
    </row>
    <row r="4" spans="1:22" s="454" customFormat="1" ht="56.25">
      <c r="A4" s="684"/>
      <c r="B4" s="684"/>
      <c r="C4" s="681"/>
      <c r="D4" s="681"/>
      <c r="E4" s="681"/>
      <c r="F4" s="681"/>
      <c r="G4" s="681"/>
      <c r="H4" s="681"/>
      <c r="I4" s="681"/>
      <c r="J4" s="681"/>
      <c r="K4" s="455" t="s">
        <v>7</v>
      </c>
      <c r="L4" s="455" t="s">
        <v>426</v>
      </c>
      <c r="M4" s="455" t="s">
        <v>427</v>
      </c>
      <c r="N4" s="455" t="s">
        <v>11</v>
      </c>
      <c r="O4" s="689"/>
      <c r="P4" s="681"/>
      <c r="Q4" s="681"/>
      <c r="R4" s="681"/>
      <c r="S4" s="681"/>
      <c r="T4" s="681"/>
      <c r="U4" s="681"/>
      <c r="V4" s="681"/>
    </row>
    <row r="5" spans="1:22" hidden="1">
      <c r="A5" s="380"/>
      <c r="B5" s="381"/>
      <c r="C5" s="382"/>
      <c r="D5" s="382"/>
      <c r="E5" s="382"/>
      <c r="F5" s="382"/>
      <c r="G5" s="382"/>
      <c r="H5" s="382"/>
      <c r="I5" s="382"/>
      <c r="J5" s="379"/>
      <c r="K5" s="382"/>
      <c r="L5" s="382"/>
      <c r="M5" s="382"/>
      <c r="N5" s="382"/>
      <c r="O5" s="383"/>
      <c r="P5" s="384" t="e">
        <f>P6+P44+P93+P120+P121+P124+P145+#REF!+#REF!+#REF!+#REF!+#REF!+#REF!+#REF!+#REF!+#REF!+#REF!+#REF!+#REF!+#REF!+P222+P221+#REF!+#REF!+#REF!+#REF!</f>
        <v>#REF!</v>
      </c>
      <c r="Q5" s="385">
        <f>SUM(Q52:Q244)</f>
        <v>0</v>
      </c>
      <c r="R5" s="385">
        <f>SUM(R52:R244)</f>
        <v>0</v>
      </c>
      <c r="S5" s="385"/>
      <c r="T5" s="385"/>
      <c r="U5" s="384" t="s">
        <v>397</v>
      </c>
      <c r="V5" s="386" t="e">
        <f>(Q5+R5)/P5*100</f>
        <v>#REF!</v>
      </c>
    </row>
    <row r="6" spans="1:22" ht="176.25" customHeight="1">
      <c r="A6" s="370">
        <v>1</v>
      </c>
      <c r="B6" s="456" t="s">
        <v>801</v>
      </c>
      <c r="C6" s="371" t="s">
        <v>15</v>
      </c>
      <c r="D6" s="339" t="s">
        <v>428</v>
      </c>
      <c r="E6" s="320" t="s">
        <v>429</v>
      </c>
      <c r="F6" s="320" t="s">
        <v>430</v>
      </c>
      <c r="G6" s="320" t="s">
        <v>431</v>
      </c>
      <c r="H6" s="320" t="s">
        <v>432</v>
      </c>
      <c r="I6" s="387" t="s">
        <v>433</v>
      </c>
      <c r="J6" s="388" t="s">
        <v>434</v>
      </c>
      <c r="K6" s="175">
        <f>K7+K12+K17+K22+K50+K51</f>
        <v>10016700</v>
      </c>
      <c r="L6" s="175">
        <f>L7+L12+L17+O22+L50+L51</f>
        <v>3886500</v>
      </c>
      <c r="M6" s="175">
        <v>0</v>
      </c>
      <c r="N6" s="175">
        <v>0</v>
      </c>
      <c r="O6" s="175">
        <f>L6+M6+N6</f>
        <v>3886500</v>
      </c>
      <c r="P6" s="175">
        <f>K6+O6</f>
        <v>13903200</v>
      </c>
      <c r="Q6" s="175"/>
      <c r="R6" s="175"/>
      <c r="S6" s="175"/>
      <c r="T6" s="175"/>
      <c r="U6" s="320"/>
      <c r="V6" s="372"/>
    </row>
    <row r="7" spans="1:22" s="314" customFormat="1" ht="37.5">
      <c r="A7" s="457"/>
      <c r="B7" s="315" t="s">
        <v>93</v>
      </c>
      <c r="C7" s="458" t="s">
        <v>790</v>
      </c>
      <c r="D7" s="459"/>
      <c r="E7" s="459"/>
      <c r="F7" s="459"/>
      <c r="G7" s="459"/>
      <c r="H7" s="459"/>
      <c r="I7" s="459"/>
      <c r="J7" s="459"/>
      <c r="K7" s="329">
        <v>0</v>
      </c>
      <c r="L7" s="329">
        <v>942900</v>
      </c>
      <c r="M7" s="329">
        <v>0</v>
      </c>
      <c r="N7" s="329">
        <v>0</v>
      </c>
      <c r="O7" s="329">
        <f>L7+M7+N7</f>
        <v>942900</v>
      </c>
      <c r="P7" s="329">
        <f>K7+O7</f>
        <v>942900</v>
      </c>
      <c r="Q7" s="329"/>
      <c r="R7" s="329"/>
      <c r="S7" s="329"/>
      <c r="T7" s="329"/>
      <c r="U7" s="329"/>
      <c r="V7" s="329"/>
    </row>
    <row r="8" spans="1:22" s="314" customFormat="1">
      <c r="A8" s="457"/>
      <c r="B8" s="315" t="s">
        <v>93</v>
      </c>
      <c r="C8" s="460" t="s">
        <v>435</v>
      </c>
      <c r="D8" s="461"/>
      <c r="E8" s="461"/>
      <c r="F8" s="461"/>
      <c r="G8" s="461"/>
      <c r="H8" s="461"/>
      <c r="I8" s="461"/>
      <c r="J8" s="461"/>
      <c r="K8" s="462" t="s">
        <v>18</v>
      </c>
      <c r="L8" s="463" t="s">
        <v>18</v>
      </c>
      <c r="M8" s="464"/>
      <c r="N8" s="464"/>
      <c r="O8" s="464"/>
      <c r="P8" s="464"/>
      <c r="Q8" s="464"/>
      <c r="R8" s="464"/>
      <c r="S8" s="464"/>
      <c r="T8" s="464"/>
      <c r="U8" s="465"/>
      <c r="V8" s="465"/>
    </row>
    <row r="9" spans="1:22" hidden="1">
      <c r="A9" s="389"/>
      <c r="B9" s="315" t="s">
        <v>93</v>
      </c>
      <c r="C9" s="390" t="s">
        <v>436</v>
      </c>
      <c r="D9" s="391"/>
      <c r="E9" s="391"/>
      <c r="F9" s="391"/>
      <c r="G9" s="391"/>
      <c r="H9" s="391"/>
      <c r="I9" s="391"/>
      <c r="J9" s="391"/>
      <c r="K9" s="392">
        <f>56440+1679939.35+56440+1636273.97</f>
        <v>3429093.3200000003</v>
      </c>
      <c r="L9" s="393">
        <f>82994.57+2822+57450+2257</f>
        <v>145523.57</v>
      </c>
      <c r="M9" s="394"/>
      <c r="N9" s="394"/>
      <c r="O9" s="394"/>
      <c r="P9" s="394"/>
      <c r="Q9" s="394"/>
      <c r="R9" s="394"/>
      <c r="S9" s="394"/>
      <c r="T9" s="394"/>
      <c r="U9" s="395"/>
      <c r="V9" s="395"/>
    </row>
    <row r="10" spans="1:22" hidden="1">
      <c r="A10" s="389"/>
      <c r="B10" s="315" t="s">
        <v>93</v>
      </c>
      <c r="C10" s="390" t="s">
        <v>437</v>
      </c>
      <c r="D10" s="391"/>
      <c r="E10" s="391"/>
      <c r="F10" s="391"/>
      <c r="G10" s="391"/>
      <c r="H10" s="391"/>
      <c r="I10" s="391"/>
      <c r="J10" s="391"/>
      <c r="K10" s="393">
        <f>57570+1630720</f>
        <v>1688290</v>
      </c>
      <c r="L10" s="393">
        <f>58650+2326+58650+2326+117300+4652</f>
        <v>243904</v>
      </c>
      <c r="M10" s="394"/>
      <c r="N10" s="394"/>
      <c r="O10" s="394"/>
      <c r="P10" s="394"/>
      <c r="Q10" s="394"/>
      <c r="R10" s="394"/>
      <c r="S10" s="394"/>
      <c r="T10" s="394"/>
      <c r="U10" s="395"/>
      <c r="V10" s="395"/>
    </row>
    <row r="11" spans="1:22" hidden="1">
      <c r="A11" s="389"/>
      <c r="B11" s="315" t="s">
        <v>93</v>
      </c>
      <c r="C11" s="390" t="s">
        <v>438</v>
      </c>
      <c r="D11" s="391"/>
      <c r="E11" s="391"/>
      <c r="F11" s="391"/>
      <c r="G11" s="391"/>
      <c r="H11" s="391"/>
      <c r="I11" s="391"/>
      <c r="J11" s="391"/>
      <c r="K11" s="393">
        <v>5153280</v>
      </c>
      <c r="L11" s="393">
        <f>117300+4652</f>
        <v>121952</v>
      </c>
      <c r="M11" s="394"/>
      <c r="N11" s="394"/>
      <c r="O11" s="394"/>
      <c r="P11" s="394"/>
      <c r="Q11" s="394"/>
      <c r="R11" s="394"/>
      <c r="S11" s="394"/>
      <c r="T11" s="394"/>
      <c r="U11" s="395"/>
      <c r="V11" s="395"/>
    </row>
    <row r="12" spans="1:22" s="314" customFormat="1">
      <c r="A12" s="457"/>
      <c r="B12" s="315" t="s">
        <v>93</v>
      </c>
      <c r="C12" s="466" t="s">
        <v>19</v>
      </c>
      <c r="D12" s="466"/>
      <c r="E12" s="466"/>
      <c r="F12" s="466"/>
      <c r="G12" s="466"/>
      <c r="H12" s="466"/>
      <c r="I12" s="466"/>
      <c r="J12" s="466"/>
      <c r="K12" s="28">
        <v>734900</v>
      </c>
      <c r="L12" s="28">
        <v>593100</v>
      </c>
      <c r="M12" s="28">
        <v>0</v>
      </c>
      <c r="N12" s="28">
        <v>0</v>
      </c>
      <c r="O12" s="28">
        <f t="shared" ref="O12:O140" si="0">L12+N12</f>
        <v>593100</v>
      </c>
      <c r="P12" s="28">
        <f t="shared" ref="P12:P120" si="1">K12+O12</f>
        <v>1328000</v>
      </c>
      <c r="Q12" s="28"/>
      <c r="R12" s="28"/>
      <c r="S12" s="28"/>
      <c r="T12" s="28"/>
      <c r="U12" s="313"/>
      <c r="V12" s="313"/>
    </row>
    <row r="13" spans="1:22" s="314" customFormat="1">
      <c r="A13" s="457"/>
      <c r="B13" s="315" t="s">
        <v>93</v>
      </c>
      <c r="C13" s="460" t="s">
        <v>435</v>
      </c>
      <c r="D13" s="461"/>
      <c r="E13" s="461"/>
      <c r="F13" s="461"/>
      <c r="G13" s="461"/>
      <c r="H13" s="461"/>
      <c r="I13" s="461"/>
      <c r="J13" s="461"/>
      <c r="K13" s="464" t="s">
        <v>18</v>
      </c>
      <c r="L13" s="464" t="s">
        <v>18</v>
      </c>
      <c r="M13" s="464"/>
      <c r="N13" s="464"/>
      <c r="O13" s="464"/>
      <c r="P13" s="464"/>
      <c r="Q13" s="464"/>
      <c r="R13" s="464"/>
      <c r="S13" s="464"/>
      <c r="T13" s="464"/>
      <c r="U13" s="313"/>
      <c r="V13" s="313"/>
    </row>
    <row r="14" spans="1:22" hidden="1">
      <c r="A14" s="389"/>
      <c r="B14" s="315" t="s">
        <v>93</v>
      </c>
      <c r="C14" s="390" t="s">
        <v>436</v>
      </c>
      <c r="D14" s="391"/>
      <c r="E14" s="391"/>
      <c r="F14" s="391"/>
      <c r="G14" s="391"/>
      <c r="H14" s="391"/>
      <c r="I14" s="391"/>
      <c r="J14" s="391"/>
      <c r="K14" s="394">
        <v>0</v>
      </c>
      <c r="L14" s="394">
        <v>0</v>
      </c>
      <c r="M14" s="394"/>
      <c r="N14" s="394"/>
      <c r="O14" s="394"/>
      <c r="P14" s="394"/>
      <c r="Q14" s="394"/>
      <c r="R14" s="394"/>
      <c r="S14" s="394"/>
      <c r="T14" s="394"/>
      <c r="U14" s="323"/>
      <c r="V14" s="323"/>
    </row>
    <row r="15" spans="1:22" hidden="1">
      <c r="A15" s="389"/>
      <c r="B15" s="315" t="s">
        <v>93</v>
      </c>
      <c r="C15" s="390" t="s">
        <v>437</v>
      </c>
      <c r="D15" s="391"/>
      <c r="E15" s="391"/>
      <c r="F15" s="391"/>
      <c r="G15" s="391"/>
      <c r="H15" s="391"/>
      <c r="I15" s="391"/>
      <c r="J15" s="391"/>
      <c r="K15" s="394">
        <v>0</v>
      </c>
      <c r="L15" s="394">
        <v>0</v>
      </c>
      <c r="M15" s="394"/>
      <c r="N15" s="394"/>
      <c r="O15" s="394"/>
      <c r="P15" s="394"/>
      <c r="Q15" s="394"/>
      <c r="R15" s="394"/>
      <c r="S15" s="394"/>
      <c r="T15" s="394"/>
      <c r="U15" s="323"/>
      <c r="V15" s="323"/>
    </row>
    <row r="16" spans="1:22" hidden="1">
      <c r="A16" s="389"/>
      <c r="B16" s="315" t="s">
        <v>93</v>
      </c>
      <c r="C16" s="390" t="s">
        <v>438</v>
      </c>
      <c r="D16" s="391"/>
      <c r="E16" s="391"/>
      <c r="F16" s="391"/>
      <c r="G16" s="391"/>
      <c r="H16" s="391"/>
      <c r="I16" s="391"/>
      <c r="J16" s="391"/>
      <c r="K16" s="394">
        <v>157500</v>
      </c>
      <c r="L16" s="394">
        <v>0</v>
      </c>
      <c r="M16" s="394">
        <v>0</v>
      </c>
      <c r="N16" s="394"/>
      <c r="O16" s="394"/>
      <c r="P16" s="394"/>
      <c r="Q16" s="394"/>
      <c r="R16" s="394"/>
      <c r="S16" s="394"/>
      <c r="T16" s="394"/>
      <c r="U16" s="323"/>
      <c r="V16" s="323"/>
    </row>
    <row r="17" spans="1:22" s="314" customFormat="1">
      <c r="A17" s="457"/>
      <c r="B17" s="315" t="s">
        <v>93</v>
      </c>
      <c r="C17" s="466" t="s">
        <v>20</v>
      </c>
      <c r="D17" s="466"/>
      <c r="E17" s="466"/>
      <c r="F17" s="466"/>
      <c r="G17" s="466"/>
      <c r="H17" s="466"/>
      <c r="I17" s="466"/>
      <c r="J17" s="466"/>
      <c r="K17" s="27">
        <v>0</v>
      </c>
      <c r="L17" s="28">
        <v>12000</v>
      </c>
      <c r="M17" s="28">
        <v>0</v>
      </c>
      <c r="N17" s="28">
        <v>0</v>
      </c>
      <c r="O17" s="28">
        <f t="shared" ref="O17" si="2">L17+N17</f>
        <v>12000</v>
      </c>
      <c r="P17" s="28">
        <f t="shared" ref="P17" si="3">K17+O17</f>
        <v>12000</v>
      </c>
      <c r="Q17" s="28"/>
      <c r="R17" s="28"/>
      <c r="S17" s="28"/>
      <c r="T17" s="28"/>
      <c r="U17" s="313"/>
      <c r="V17" s="313"/>
    </row>
    <row r="18" spans="1:22" s="314" customFormat="1">
      <c r="A18" s="457"/>
      <c r="B18" s="315" t="s">
        <v>93</v>
      </c>
      <c r="C18" s="460" t="s">
        <v>435</v>
      </c>
      <c r="D18" s="461"/>
      <c r="E18" s="461"/>
      <c r="F18" s="461"/>
      <c r="G18" s="461"/>
      <c r="H18" s="461"/>
      <c r="I18" s="461"/>
      <c r="J18" s="461"/>
      <c r="K18" s="464" t="s">
        <v>18</v>
      </c>
      <c r="L18" s="464" t="s">
        <v>18</v>
      </c>
      <c r="M18" s="464"/>
      <c r="N18" s="464"/>
      <c r="O18" s="464"/>
      <c r="P18" s="464"/>
      <c r="Q18" s="464"/>
      <c r="R18" s="464"/>
      <c r="S18" s="464"/>
      <c r="T18" s="464"/>
      <c r="U18" s="313"/>
      <c r="V18" s="313"/>
    </row>
    <row r="19" spans="1:22" hidden="1">
      <c r="A19" s="389"/>
      <c r="B19" s="315" t="s">
        <v>93</v>
      </c>
      <c r="C19" s="390" t="s">
        <v>436</v>
      </c>
      <c r="D19" s="391"/>
      <c r="E19" s="391"/>
      <c r="F19" s="391"/>
      <c r="G19" s="391"/>
      <c r="H19" s="391"/>
      <c r="I19" s="391"/>
      <c r="J19" s="391"/>
      <c r="K19" s="394">
        <v>0</v>
      </c>
      <c r="L19" s="394">
        <v>0</v>
      </c>
      <c r="M19" s="394"/>
      <c r="N19" s="394"/>
      <c r="O19" s="394"/>
      <c r="P19" s="394"/>
      <c r="Q19" s="394"/>
      <c r="R19" s="394"/>
      <c r="S19" s="394"/>
      <c r="T19" s="394"/>
      <c r="U19" s="323"/>
      <c r="V19" s="323"/>
    </row>
    <row r="20" spans="1:22" hidden="1">
      <c r="A20" s="389"/>
      <c r="B20" s="315" t="s">
        <v>93</v>
      </c>
      <c r="C20" s="390" t="s">
        <v>437</v>
      </c>
      <c r="D20" s="391"/>
      <c r="E20" s="391"/>
      <c r="F20" s="391"/>
      <c r="G20" s="391"/>
      <c r="H20" s="391"/>
      <c r="I20" s="391"/>
      <c r="J20" s="391"/>
      <c r="K20" s="394">
        <v>0</v>
      </c>
      <c r="L20" s="394">
        <v>0</v>
      </c>
      <c r="M20" s="394"/>
      <c r="N20" s="394"/>
      <c r="O20" s="394"/>
      <c r="P20" s="394"/>
      <c r="Q20" s="394"/>
      <c r="R20" s="394"/>
      <c r="S20" s="394"/>
      <c r="T20" s="394"/>
      <c r="U20" s="323"/>
      <c r="V20" s="323"/>
    </row>
    <row r="21" spans="1:22" hidden="1">
      <c r="A21" s="389"/>
      <c r="B21" s="315" t="s">
        <v>93</v>
      </c>
      <c r="C21" s="390" t="s">
        <v>438</v>
      </c>
      <c r="D21" s="391"/>
      <c r="E21" s="391"/>
      <c r="F21" s="391"/>
      <c r="G21" s="391"/>
      <c r="H21" s="391"/>
      <c r="I21" s="391"/>
      <c r="J21" s="391"/>
      <c r="K21" s="394">
        <v>157500</v>
      </c>
      <c r="L21" s="394">
        <v>0</v>
      </c>
      <c r="M21" s="394">
        <v>0</v>
      </c>
      <c r="N21" s="394"/>
      <c r="O21" s="394"/>
      <c r="P21" s="394"/>
      <c r="Q21" s="394"/>
      <c r="R21" s="394"/>
      <c r="S21" s="394"/>
      <c r="T21" s="394"/>
      <c r="U21" s="323"/>
      <c r="V21" s="323"/>
    </row>
    <row r="22" spans="1:22" s="24" customFormat="1" ht="18.75">
      <c r="A22" s="653"/>
      <c r="B22" s="99" t="s">
        <v>93</v>
      </c>
      <c r="C22" s="458" t="s">
        <v>21</v>
      </c>
      <c r="D22" s="9"/>
      <c r="E22" s="9"/>
      <c r="F22" s="9"/>
      <c r="G22" s="44"/>
      <c r="H22" s="650"/>
      <c r="I22" s="650"/>
      <c r="J22" s="650"/>
      <c r="K22" s="652">
        <f>K23</f>
        <v>6197200</v>
      </c>
      <c r="L22" s="652">
        <f>L23</f>
        <v>1120000</v>
      </c>
      <c r="M22" s="28">
        <v>0</v>
      </c>
      <c r="N22" s="28">
        <v>0</v>
      </c>
      <c r="O22" s="28">
        <f>L22+M22+N22</f>
        <v>1120000</v>
      </c>
      <c r="P22" s="652">
        <f>K22+O22</f>
        <v>7317200</v>
      </c>
      <c r="Q22" s="650"/>
      <c r="R22" s="650"/>
      <c r="S22" s="650"/>
      <c r="T22" s="650"/>
      <c r="U22" s="650"/>
      <c r="V22" s="650"/>
    </row>
    <row r="23" spans="1:22" s="14" customFormat="1" ht="51.75">
      <c r="A23" s="654"/>
      <c r="B23" s="12"/>
      <c r="C23" s="78" t="s">
        <v>969</v>
      </c>
      <c r="D23" s="9"/>
      <c r="E23" s="9"/>
      <c r="F23" s="9"/>
      <c r="G23" s="15"/>
      <c r="H23" s="651"/>
      <c r="I23" s="651"/>
      <c r="J23" s="651"/>
      <c r="K23" s="28">
        <f>K41+K48</f>
        <v>6197200</v>
      </c>
      <c r="L23" s="28">
        <f>L24+L28+L32+L34</f>
        <v>1120000</v>
      </c>
      <c r="M23" s="28">
        <v>0</v>
      </c>
      <c r="N23" s="28">
        <v>0</v>
      </c>
      <c r="O23" s="28" t="e">
        <f>#REF!+N23</f>
        <v>#REF!</v>
      </c>
      <c r="P23" s="651"/>
      <c r="Q23" s="651"/>
      <c r="R23" s="651"/>
      <c r="S23" s="651"/>
      <c r="T23" s="651"/>
      <c r="U23" s="651"/>
      <c r="V23" s="651"/>
    </row>
    <row r="24" spans="1:22" s="14" customFormat="1" ht="76.5" customHeight="1">
      <c r="A24" s="654"/>
      <c r="B24" s="656" t="s">
        <v>104</v>
      </c>
      <c r="C24" s="565" t="s">
        <v>1014</v>
      </c>
      <c r="D24" s="9"/>
      <c r="E24" s="9"/>
      <c r="F24" s="9"/>
      <c r="G24" s="15"/>
      <c r="H24" s="16"/>
      <c r="I24" s="21" t="s">
        <v>18</v>
      </c>
      <c r="J24" s="13"/>
      <c r="K24" s="28">
        <v>0</v>
      </c>
      <c r="L24" s="23">
        <f>60000+10000+50000</f>
        <v>120000</v>
      </c>
      <c r="M24" s="28">
        <v>0</v>
      </c>
      <c r="N24" s="28">
        <v>0</v>
      </c>
      <c r="O24" s="28">
        <f>K24+N24</f>
        <v>0</v>
      </c>
      <c r="P24" s="651"/>
      <c r="Q24" s="651"/>
      <c r="R24" s="651"/>
      <c r="S24" s="651"/>
      <c r="T24" s="651"/>
      <c r="U24" s="651"/>
      <c r="V24" s="651"/>
    </row>
    <row r="25" spans="1:22" s="14" customFormat="1" ht="79.5" customHeight="1">
      <c r="A25" s="654"/>
      <c r="B25" s="657" t="s">
        <v>18</v>
      </c>
      <c r="C25" s="641" t="s">
        <v>970</v>
      </c>
      <c r="D25" s="9"/>
      <c r="E25" s="9"/>
      <c r="F25" s="9"/>
      <c r="G25" s="20" t="s">
        <v>18</v>
      </c>
      <c r="H25" s="16"/>
      <c r="I25" s="21" t="s">
        <v>18</v>
      </c>
      <c r="J25" s="13"/>
      <c r="K25" s="13"/>
      <c r="L25" s="13"/>
      <c r="M25" s="651"/>
      <c r="N25" s="651"/>
      <c r="O25" s="651"/>
      <c r="P25" s="651"/>
      <c r="Q25" s="651"/>
      <c r="R25" s="651"/>
      <c r="S25" s="651"/>
      <c r="T25" s="651"/>
      <c r="U25" s="651"/>
      <c r="V25" s="651"/>
    </row>
    <row r="26" spans="1:22" s="14" customFormat="1" ht="78.75" customHeight="1">
      <c r="A26" s="654"/>
      <c r="B26" s="657"/>
      <c r="C26" s="641" t="s">
        <v>971</v>
      </c>
      <c r="D26" s="9"/>
      <c r="E26" s="9"/>
      <c r="F26" s="9"/>
      <c r="G26" s="20" t="s">
        <v>18</v>
      </c>
      <c r="H26" s="16"/>
      <c r="I26" s="22" t="s">
        <v>18</v>
      </c>
      <c r="J26" s="13"/>
      <c r="K26" s="13"/>
      <c r="L26" s="13"/>
      <c r="M26" s="651"/>
      <c r="N26" s="651"/>
      <c r="O26" s="651"/>
      <c r="P26" s="651"/>
      <c r="Q26" s="651"/>
      <c r="R26" s="651"/>
      <c r="S26" s="651"/>
      <c r="T26" s="651"/>
      <c r="U26" s="651"/>
      <c r="V26" s="651"/>
    </row>
    <row r="27" spans="1:22" s="14" customFormat="1" ht="90.75" customHeight="1">
      <c r="A27" s="654"/>
      <c r="B27" s="658"/>
      <c r="C27" s="641" t="s">
        <v>972</v>
      </c>
      <c r="D27" s="9"/>
      <c r="E27" s="9"/>
      <c r="F27" s="9"/>
      <c r="G27" s="20" t="s">
        <v>18</v>
      </c>
      <c r="H27" s="16"/>
      <c r="I27" s="13"/>
      <c r="J27" s="13"/>
      <c r="K27" s="13"/>
      <c r="L27" s="13"/>
      <c r="M27" s="651"/>
      <c r="N27" s="651"/>
      <c r="O27" s="651"/>
      <c r="P27" s="651"/>
      <c r="Q27" s="651"/>
      <c r="R27" s="651"/>
      <c r="S27" s="651"/>
      <c r="T27" s="651"/>
      <c r="U27" s="651"/>
      <c r="V27" s="651"/>
    </row>
    <row r="28" spans="1:22" s="50" customFormat="1" ht="113.25" customHeight="1">
      <c r="A28" s="643" t="s">
        <v>18</v>
      </c>
      <c r="B28" s="659" t="s">
        <v>22</v>
      </c>
      <c r="C28" s="565" t="s">
        <v>973</v>
      </c>
      <c r="D28" s="17"/>
      <c r="E28" s="17"/>
      <c r="F28" s="17"/>
      <c r="G28" s="17"/>
      <c r="H28" s="16"/>
      <c r="I28" s="16"/>
      <c r="J28" s="16"/>
      <c r="K28" s="10">
        <v>0</v>
      </c>
      <c r="L28" s="10">
        <f>375000+13000+52000</f>
        <v>440000</v>
      </c>
      <c r="M28" s="10">
        <v>0</v>
      </c>
      <c r="N28" s="10">
        <v>0</v>
      </c>
      <c r="O28" s="34">
        <f>L28+M28+N28</f>
        <v>440000</v>
      </c>
      <c r="P28" s="704">
        <f>K28+O28</f>
        <v>440000</v>
      </c>
      <c r="Q28" s="95"/>
      <c r="R28" s="95"/>
      <c r="S28" s="95"/>
      <c r="T28" s="95"/>
      <c r="U28" s="95"/>
      <c r="V28" s="95"/>
    </row>
    <row r="29" spans="1:22" s="50" customFormat="1" ht="74.25" customHeight="1">
      <c r="A29" s="655"/>
      <c r="B29" s="660"/>
      <c r="C29" s="641" t="s">
        <v>974</v>
      </c>
      <c r="D29" s="91"/>
      <c r="E29" s="91"/>
      <c r="F29" s="91"/>
      <c r="G29" s="20" t="s">
        <v>18</v>
      </c>
      <c r="H29" s="165" t="s">
        <v>18</v>
      </c>
      <c r="I29" s="167"/>
      <c r="J29" s="10" t="s">
        <v>18</v>
      </c>
      <c r="K29" s="10" t="s">
        <v>18</v>
      </c>
      <c r="L29" s="34" t="s">
        <v>18</v>
      </c>
      <c r="M29" s="95"/>
      <c r="N29" s="95"/>
      <c r="O29" s="95"/>
      <c r="P29" s="95"/>
      <c r="Q29" s="95"/>
      <c r="R29" s="95"/>
      <c r="S29" s="95"/>
      <c r="T29" s="95"/>
      <c r="U29" s="95"/>
      <c r="V29" s="95"/>
    </row>
    <row r="30" spans="1:22" s="50" customFormat="1" ht="73.5" customHeight="1">
      <c r="A30" s="655"/>
      <c r="B30" s="660"/>
      <c r="C30" s="641" t="s">
        <v>975</v>
      </c>
      <c r="D30" s="91"/>
      <c r="E30" s="91"/>
      <c r="F30" s="91"/>
      <c r="G30" s="20" t="s">
        <v>18</v>
      </c>
      <c r="H30" s="91"/>
      <c r="I30" s="167"/>
      <c r="J30" s="10" t="s">
        <v>18</v>
      </c>
      <c r="K30" s="10" t="s">
        <v>18</v>
      </c>
      <c r="L30" s="34" t="s">
        <v>18</v>
      </c>
      <c r="M30" s="95"/>
      <c r="N30" s="95"/>
      <c r="O30" s="95"/>
      <c r="P30" s="95"/>
      <c r="Q30" s="95"/>
      <c r="R30" s="95"/>
      <c r="S30" s="95"/>
      <c r="T30" s="95"/>
      <c r="U30" s="95"/>
      <c r="V30" s="95"/>
    </row>
    <row r="31" spans="1:22" s="50" customFormat="1" ht="58.5" customHeight="1">
      <c r="A31" s="655"/>
      <c r="B31" s="97"/>
      <c r="C31" s="641" t="s">
        <v>976</v>
      </c>
      <c r="D31" s="91"/>
      <c r="E31" s="91"/>
      <c r="F31" s="91"/>
      <c r="G31" s="20" t="s">
        <v>18</v>
      </c>
      <c r="H31" s="165" t="s">
        <v>18</v>
      </c>
      <c r="I31" s="167"/>
      <c r="J31" s="10" t="s">
        <v>18</v>
      </c>
      <c r="K31" s="10" t="s">
        <v>18</v>
      </c>
      <c r="L31" s="34" t="s">
        <v>18</v>
      </c>
      <c r="M31" s="95"/>
      <c r="N31" s="95"/>
      <c r="O31" s="95"/>
      <c r="P31" s="95"/>
      <c r="Q31" s="95"/>
      <c r="R31" s="95"/>
      <c r="S31" s="95"/>
      <c r="T31" s="95"/>
      <c r="U31" s="95"/>
      <c r="V31" s="95"/>
    </row>
    <row r="32" spans="1:22" s="50" customFormat="1" ht="107.25" customHeight="1">
      <c r="A32" s="655"/>
      <c r="B32" s="659" t="s">
        <v>22</v>
      </c>
      <c r="C32" s="565" t="s">
        <v>977</v>
      </c>
      <c r="D32" s="91"/>
      <c r="E32" s="91"/>
      <c r="F32" s="91"/>
      <c r="G32" s="20"/>
      <c r="H32" s="165" t="s">
        <v>18</v>
      </c>
      <c r="I32" s="167"/>
      <c r="J32" s="10" t="s">
        <v>18</v>
      </c>
      <c r="K32" s="165">
        <v>0</v>
      </c>
      <c r="L32" s="10">
        <f>30000*2</f>
        <v>60000</v>
      </c>
      <c r="M32" s="10">
        <v>0</v>
      </c>
      <c r="N32" s="10">
        <v>0</v>
      </c>
      <c r="O32" s="34">
        <f>L32+M32+N32</f>
        <v>60000</v>
      </c>
      <c r="P32" s="704">
        <f>K32+O32</f>
        <v>60000</v>
      </c>
      <c r="Q32" s="95"/>
      <c r="R32" s="95"/>
      <c r="S32" s="95"/>
      <c r="T32" s="95"/>
      <c r="U32" s="95"/>
      <c r="V32" s="95"/>
    </row>
    <row r="33" spans="1:22" s="50" customFormat="1" ht="69">
      <c r="A33" s="655"/>
      <c r="B33" s="97"/>
      <c r="C33" s="641" t="s">
        <v>978</v>
      </c>
      <c r="D33" s="91"/>
      <c r="E33" s="91"/>
      <c r="F33" s="91"/>
      <c r="G33" s="20" t="s">
        <v>18</v>
      </c>
      <c r="H33" s="91"/>
      <c r="I33" s="167"/>
      <c r="J33" s="10" t="s">
        <v>18</v>
      </c>
      <c r="K33" s="10" t="s">
        <v>18</v>
      </c>
      <c r="L33" s="34" t="s">
        <v>18</v>
      </c>
      <c r="M33" s="95"/>
      <c r="N33" s="95"/>
      <c r="O33" s="95"/>
      <c r="P33" s="95"/>
      <c r="Q33" s="95"/>
      <c r="R33" s="95"/>
      <c r="S33" s="95"/>
      <c r="T33" s="95"/>
      <c r="U33" s="95"/>
      <c r="V33" s="95"/>
    </row>
    <row r="34" spans="1:22" s="50" customFormat="1" ht="158.25" customHeight="1">
      <c r="A34" s="643" t="s">
        <v>18</v>
      </c>
      <c r="B34" s="659" t="s">
        <v>23</v>
      </c>
      <c r="C34" s="565" t="s">
        <v>979</v>
      </c>
      <c r="D34" s="646" t="s">
        <v>18</v>
      </c>
      <c r="E34" s="646" t="s">
        <v>18</v>
      </c>
      <c r="F34" s="646" t="s">
        <v>18</v>
      </c>
      <c r="G34" s="17"/>
      <c r="H34" s="91"/>
      <c r="I34" s="167"/>
      <c r="J34" s="10" t="s">
        <v>18</v>
      </c>
      <c r="K34" s="10">
        <v>0</v>
      </c>
      <c r="L34" s="10">
        <f>135000+105000+50000+55000+65000+90000</f>
        <v>500000</v>
      </c>
      <c r="M34" s="10">
        <v>0</v>
      </c>
      <c r="N34" s="10">
        <v>0</v>
      </c>
      <c r="O34" s="34">
        <f>L34+M34+N34</f>
        <v>500000</v>
      </c>
      <c r="P34" s="704">
        <f>K34+O34</f>
        <v>500000</v>
      </c>
      <c r="Q34" s="95"/>
      <c r="R34" s="95"/>
      <c r="S34" s="95"/>
      <c r="T34" s="95"/>
      <c r="U34" s="95"/>
      <c r="V34" s="95"/>
    </row>
    <row r="35" spans="1:22" s="50" customFormat="1" ht="54.75" customHeight="1">
      <c r="A35" s="643"/>
      <c r="B35" s="661"/>
      <c r="C35" s="641" t="s">
        <v>980</v>
      </c>
      <c r="D35" s="646"/>
      <c r="E35" s="646"/>
      <c r="F35" s="646"/>
      <c r="G35" s="20" t="s">
        <v>18</v>
      </c>
      <c r="H35" s="38"/>
      <c r="I35" s="10"/>
      <c r="J35" s="10" t="s">
        <v>18</v>
      </c>
      <c r="K35" s="34" t="s">
        <v>18</v>
      </c>
      <c r="L35" s="34" t="s">
        <v>18</v>
      </c>
      <c r="M35" s="95"/>
      <c r="N35" s="95"/>
      <c r="O35" s="95"/>
      <c r="P35" s="95"/>
      <c r="Q35" s="95"/>
      <c r="R35" s="95"/>
      <c r="S35" s="95"/>
      <c r="T35" s="95"/>
      <c r="U35" s="95"/>
      <c r="V35" s="95"/>
    </row>
    <row r="36" spans="1:22" s="50" customFormat="1" ht="38.25" customHeight="1">
      <c r="A36" s="643"/>
      <c r="B36" s="661"/>
      <c r="C36" s="641" t="s">
        <v>981</v>
      </c>
      <c r="D36" s="646"/>
      <c r="E36" s="646"/>
      <c r="F36" s="646"/>
      <c r="G36" s="20" t="s">
        <v>18</v>
      </c>
      <c r="H36" s="38"/>
      <c r="I36" s="10"/>
      <c r="J36" s="10" t="s">
        <v>18</v>
      </c>
      <c r="K36" s="34" t="s">
        <v>18</v>
      </c>
      <c r="L36" s="34" t="s">
        <v>18</v>
      </c>
      <c r="M36" s="95"/>
      <c r="N36" s="95"/>
      <c r="O36" s="95"/>
      <c r="P36" s="95"/>
      <c r="Q36" s="95"/>
      <c r="R36" s="95"/>
      <c r="S36" s="95"/>
      <c r="T36" s="95"/>
      <c r="U36" s="95"/>
      <c r="V36" s="95"/>
    </row>
    <row r="37" spans="1:22" s="50" customFormat="1" ht="53.25" customHeight="1">
      <c r="A37" s="643"/>
      <c r="B37" s="661"/>
      <c r="C37" s="641" t="s">
        <v>982</v>
      </c>
      <c r="D37" s="646"/>
      <c r="E37" s="646"/>
      <c r="F37" s="646"/>
      <c r="G37" s="20" t="s">
        <v>64</v>
      </c>
      <c r="H37" s="38"/>
      <c r="I37" s="10"/>
      <c r="J37" s="10" t="s">
        <v>18</v>
      </c>
      <c r="K37" s="34" t="s">
        <v>18</v>
      </c>
      <c r="L37" s="34" t="s">
        <v>18</v>
      </c>
      <c r="M37" s="95"/>
      <c r="N37" s="95"/>
      <c r="O37" s="95"/>
      <c r="P37" s="95"/>
      <c r="Q37" s="95"/>
      <c r="R37" s="95"/>
      <c r="S37" s="95"/>
      <c r="T37" s="95"/>
      <c r="U37" s="95"/>
      <c r="V37" s="95"/>
    </row>
    <row r="38" spans="1:22" s="50" customFormat="1" ht="51.75">
      <c r="A38" s="643"/>
      <c r="B38" s="661"/>
      <c r="C38" s="641" t="s">
        <v>983</v>
      </c>
      <c r="D38" s="646"/>
      <c r="E38" s="646"/>
      <c r="F38" s="646"/>
      <c r="G38" s="20" t="s">
        <v>18</v>
      </c>
      <c r="H38" s="38"/>
      <c r="I38" s="10"/>
      <c r="J38" s="10" t="s">
        <v>18</v>
      </c>
      <c r="K38" s="34" t="s">
        <v>18</v>
      </c>
      <c r="L38" s="34" t="s">
        <v>18</v>
      </c>
      <c r="M38" s="95"/>
      <c r="N38" s="95"/>
      <c r="O38" s="95"/>
      <c r="P38" s="95"/>
      <c r="Q38" s="95"/>
      <c r="R38" s="95"/>
      <c r="S38" s="95"/>
      <c r="T38" s="95"/>
      <c r="U38" s="95"/>
      <c r="V38" s="95"/>
    </row>
    <row r="39" spans="1:22" s="50" customFormat="1" ht="69">
      <c r="A39" s="643"/>
      <c r="B39" s="661"/>
      <c r="C39" s="641" t="s">
        <v>984</v>
      </c>
      <c r="D39" s="646"/>
      <c r="E39" s="646"/>
      <c r="F39" s="646"/>
      <c r="G39" s="20" t="s">
        <v>18</v>
      </c>
      <c r="H39" s="38"/>
      <c r="I39" s="10"/>
      <c r="J39" s="10" t="s">
        <v>18</v>
      </c>
      <c r="K39" s="34" t="s">
        <v>18</v>
      </c>
      <c r="L39" s="34" t="s">
        <v>18</v>
      </c>
      <c r="M39" s="95"/>
      <c r="N39" s="95"/>
      <c r="O39" s="95"/>
      <c r="P39" s="95"/>
      <c r="Q39" s="95"/>
      <c r="R39" s="95"/>
      <c r="S39" s="95"/>
      <c r="T39" s="95"/>
      <c r="U39" s="95"/>
      <c r="V39" s="95"/>
    </row>
    <row r="40" spans="1:22" s="50" customFormat="1" ht="34.5">
      <c r="A40" s="643"/>
      <c r="B40" s="48"/>
      <c r="C40" s="641" t="s">
        <v>985</v>
      </c>
      <c r="D40" s="646"/>
      <c r="E40" s="646"/>
      <c r="F40" s="646"/>
      <c r="G40" s="20" t="s">
        <v>18</v>
      </c>
      <c r="H40" s="38"/>
      <c r="I40" s="10"/>
      <c r="J40" s="10" t="s">
        <v>18</v>
      </c>
      <c r="K40" s="34" t="s">
        <v>18</v>
      </c>
      <c r="L40" s="34" t="s">
        <v>18</v>
      </c>
      <c r="M40" s="95"/>
      <c r="N40" s="95"/>
      <c r="O40" s="95"/>
      <c r="P40" s="95"/>
      <c r="Q40" s="95"/>
      <c r="R40" s="95"/>
      <c r="S40" s="95"/>
      <c r="T40" s="95"/>
      <c r="U40" s="95"/>
      <c r="V40" s="95"/>
    </row>
    <row r="41" spans="1:22" s="50" customFormat="1" ht="51.75">
      <c r="A41" s="643"/>
      <c r="B41" s="659" t="s">
        <v>23</v>
      </c>
      <c r="C41" s="565" t="s">
        <v>986</v>
      </c>
      <c r="D41" s="90"/>
      <c r="E41" s="90"/>
      <c r="F41" s="90"/>
      <c r="G41" s="20" t="s">
        <v>18</v>
      </c>
      <c r="H41" s="95"/>
      <c r="I41" s="95"/>
      <c r="J41" s="95"/>
      <c r="K41" s="28">
        <f>SUM(K42:K47)</f>
        <v>5201000</v>
      </c>
      <c r="L41" s="10">
        <v>0</v>
      </c>
      <c r="M41" s="10">
        <v>0</v>
      </c>
      <c r="N41" s="10">
        <f>L41+M41</f>
        <v>0</v>
      </c>
      <c r="O41" s="34">
        <f>L41+M41+N41</f>
        <v>0</v>
      </c>
      <c r="P41" s="704">
        <f>K41+O41</f>
        <v>5201000</v>
      </c>
      <c r="Q41" s="95"/>
      <c r="R41" s="95"/>
      <c r="S41" s="95"/>
      <c r="T41" s="95"/>
      <c r="U41" s="95"/>
      <c r="V41" s="95"/>
    </row>
    <row r="42" spans="1:22" s="50" customFormat="1" ht="34.5">
      <c r="A42" s="643"/>
      <c r="B42" s="661"/>
      <c r="C42" s="641" t="s">
        <v>987</v>
      </c>
      <c r="D42" s="647"/>
      <c r="E42" s="90"/>
      <c r="F42" s="90"/>
      <c r="G42" s="20" t="s">
        <v>18</v>
      </c>
      <c r="H42" s="95"/>
      <c r="I42" s="95"/>
      <c r="J42" s="95"/>
      <c r="K42" s="28">
        <v>590000</v>
      </c>
      <c r="L42" s="10"/>
      <c r="M42" s="10"/>
      <c r="N42" s="34"/>
      <c r="O42" s="34"/>
      <c r="P42" s="95"/>
      <c r="Q42" s="95"/>
      <c r="R42" s="95"/>
      <c r="S42" s="95"/>
      <c r="T42" s="95"/>
      <c r="U42" s="95"/>
      <c r="V42" s="95"/>
    </row>
    <row r="43" spans="1:22" s="50" customFormat="1" ht="51.75">
      <c r="A43" s="643"/>
      <c r="B43" s="661"/>
      <c r="C43" s="641" t="s">
        <v>1004</v>
      </c>
      <c r="D43" s="647"/>
      <c r="E43" s="90"/>
      <c r="F43" s="90"/>
      <c r="G43" s="20" t="s">
        <v>18</v>
      </c>
      <c r="H43" s="95"/>
      <c r="I43" s="95"/>
      <c r="J43" s="95"/>
      <c r="K43" s="28">
        <v>301500</v>
      </c>
      <c r="L43" s="10"/>
      <c r="M43" s="10"/>
      <c r="N43" s="34"/>
      <c r="O43" s="34"/>
      <c r="P43" s="95"/>
      <c r="Q43" s="95"/>
      <c r="R43" s="95"/>
      <c r="S43" s="95"/>
      <c r="T43" s="95"/>
      <c r="U43" s="95"/>
      <c r="V43" s="95"/>
    </row>
    <row r="44" spans="1:22" s="50" customFormat="1" ht="51.75">
      <c r="A44" s="643"/>
      <c r="B44" s="661"/>
      <c r="C44" s="641" t="s">
        <v>989</v>
      </c>
      <c r="D44" s="647"/>
      <c r="E44" s="90"/>
      <c r="F44" s="90"/>
      <c r="G44" s="20"/>
      <c r="H44" s="95"/>
      <c r="I44" s="95"/>
      <c r="J44" s="95"/>
      <c r="K44" s="28">
        <v>535000</v>
      </c>
      <c r="L44" s="10"/>
      <c r="M44" s="10"/>
      <c r="N44" s="34"/>
      <c r="O44" s="34"/>
      <c r="P44" s="95"/>
      <c r="Q44" s="95"/>
      <c r="R44" s="95"/>
      <c r="S44" s="95"/>
      <c r="T44" s="95"/>
      <c r="U44" s="95"/>
      <c r="V44" s="95"/>
    </row>
    <row r="45" spans="1:22" s="50" customFormat="1" ht="34.5">
      <c r="A45" s="643"/>
      <c r="B45" s="661"/>
      <c r="C45" s="641" t="s">
        <v>988</v>
      </c>
      <c r="D45" s="647"/>
      <c r="E45" s="90"/>
      <c r="F45" s="90"/>
      <c r="G45" s="20"/>
      <c r="H45" s="95"/>
      <c r="I45" s="95"/>
      <c r="J45" s="95"/>
      <c r="K45" s="28">
        <v>330000</v>
      </c>
      <c r="L45" s="10"/>
      <c r="M45" s="10"/>
      <c r="N45" s="34"/>
      <c r="O45" s="34"/>
      <c r="P45" s="95"/>
      <c r="Q45" s="95"/>
      <c r="R45" s="95"/>
      <c r="S45" s="95"/>
      <c r="T45" s="95"/>
      <c r="U45" s="95"/>
      <c r="V45" s="95"/>
    </row>
    <row r="46" spans="1:22" s="50" customFormat="1" ht="86.25">
      <c r="A46" s="643"/>
      <c r="B46" s="661"/>
      <c r="C46" s="641" t="s">
        <v>990</v>
      </c>
      <c r="D46" s="647"/>
      <c r="E46" s="90"/>
      <c r="F46" s="90"/>
      <c r="G46" s="20"/>
      <c r="H46" s="95"/>
      <c r="I46" s="95"/>
      <c r="J46" s="95"/>
      <c r="K46" s="28">
        <v>1444500</v>
      </c>
      <c r="L46" s="10"/>
      <c r="M46" s="10"/>
      <c r="N46" s="34"/>
      <c r="O46" s="34"/>
      <c r="P46" s="95"/>
      <c r="Q46" s="95"/>
      <c r="R46" s="95"/>
      <c r="S46" s="95"/>
      <c r="T46" s="95"/>
      <c r="U46" s="95"/>
      <c r="V46" s="95"/>
    </row>
    <row r="47" spans="1:22" s="50" customFormat="1" ht="69">
      <c r="A47" s="643"/>
      <c r="B47" s="48"/>
      <c r="C47" s="641" t="s">
        <v>991</v>
      </c>
      <c r="D47" s="647"/>
      <c r="E47" s="90"/>
      <c r="F47" s="90"/>
      <c r="G47" s="20"/>
      <c r="H47" s="95"/>
      <c r="I47" s="95"/>
      <c r="J47" s="95"/>
      <c r="K47" s="28">
        <v>2000000</v>
      </c>
      <c r="L47" s="10"/>
      <c r="M47" s="10"/>
      <c r="N47" s="34"/>
      <c r="O47" s="34"/>
      <c r="P47" s="95"/>
      <c r="Q47" s="95"/>
      <c r="R47" s="95"/>
      <c r="S47" s="95"/>
      <c r="T47" s="95"/>
      <c r="U47" s="95"/>
      <c r="V47" s="95"/>
    </row>
    <row r="48" spans="1:22" s="50" customFormat="1" ht="94.5" customHeight="1">
      <c r="A48" s="643"/>
      <c r="B48" s="659" t="s">
        <v>23</v>
      </c>
      <c r="C48" s="565" t="s">
        <v>992</v>
      </c>
      <c r="D48" s="90"/>
      <c r="E48" s="90"/>
      <c r="F48" s="90"/>
      <c r="G48" s="20" t="s">
        <v>18</v>
      </c>
      <c r="H48" s="95"/>
      <c r="I48" s="95"/>
      <c r="J48" s="95"/>
      <c r="K48" s="28">
        <f>K49</f>
        <v>996200</v>
      </c>
      <c r="L48" s="10" t="s">
        <v>18</v>
      </c>
      <c r="M48" s="10" t="s">
        <v>18</v>
      </c>
      <c r="N48" s="10" t="s">
        <v>18</v>
      </c>
      <c r="O48" s="28" t="s">
        <v>18</v>
      </c>
      <c r="P48" s="95"/>
      <c r="Q48" s="95"/>
      <c r="R48" s="95"/>
      <c r="S48" s="95"/>
      <c r="T48" s="95"/>
      <c r="U48" s="95"/>
      <c r="V48" s="95"/>
    </row>
    <row r="49" spans="1:22" s="50" customFormat="1" ht="51.75">
      <c r="A49" s="643"/>
      <c r="B49" s="48"/>
      <c r="C49" s="641" t="s">
        <v>993</v>
      </c>
      <c r="D49" s="647"/>
      <c r="E49" s="90"/>
      <c r="F49" s="90"/>
      <c r="G49" s="20"/>
      <c r="H49" s="95"/>
      <c r="I49" s="95"/>
      <c r="J49" s="95"/>
      <c r="K49" s="28">
        <v>996200</v>
      </c>
      <c r="L49" s="10" t="s">
        <v>18</v>
      </c>
      <c r="M49" s="10" t="s">
        <v>18</v>
      </c>
      <c r="N49" s="10" t="s">
        <v>18</v>
      </c>
      <c r="O49" s="28" t="s">
        <v>18</v>
      </c>
      <c r="P49" s="95"/>
      <c r="Q49" s="95"/>
      <c r="R49" s="95"/>
      <c r="S49" s="95"/>
      <c r="T49" s="95"/>
      <c r="U49" s="95"/>
      <c r="V49" s="95"/>
    </row>
    <row r="50" spans="1:22" s="373" customFormat="1">
      <c r="A50" s="389"/>
      <c r="B50" s="534" t="s">
        <v>93</v>
      </c>
      <c r="C50" s="343" t="s">
        <v>27</v>
      </c>
      <c r="D50" s="9"/>
      <c r="E50" s="9"/>
      <c r="F50" s="9"/>
      <c r="G50" s="102"/>
      <c r="H50" s="648"/>
      <c r="I50" s="648"/>
      <c r="J50" s="649"/>
      <c r="K50" s="28">
        <v>0</v>
      </c>
      <c r="L50" s="28">
        <v>33400</v>
      </c>
      <c r="M50" s="368">
        <v>0</v>
      </c>
      <c r="N50" s="368">
        <v>0</v>
      </c>
      <c r="O50" s="34">
        <f>L50+M50+N50</f>
        <v>33400</v>
      </c>
      <c r="P50" s="704">
        <f>K50+O50</f>
        <v>33400</v>
      </c>
      <c r="Q50" s="368"/>
      <c r="R50" s="368"/>
      <c r="S50" s="368"/>
      <c r="T50" s="368"/>
      <c r="U50" s="323"/>
      <c r="V50" s="323"/>
    </row>
    <row r="51" spans="1:22" s="314" customFormat="1" ht="37.5">
      <c r="A51" s="457"/>
      <c r="B51" s="315" t="s">
        <v>93</v>
      </c>
      <c r="C51" s="466" t="s">
        <v>795</v>
      </c>
      <c r="D51" s="466"/>
      <c r="E51" s="466"/>
      <c r="F51" s="466"/>
      <c r="G51" s="466"/>
      <c r="H51" s="466"/>
      <c r="I51" s="466"/>
      <c r="J51" s="466"/>
      <c r="K51" s="28">
        <f>K52+K57+K62+K70+K75</f>
        <v>3084600</v>
      </c>
      <c r="L51" s="28">
        <f>L52+L57+L62+L70+L75</f>
        <v>1185100</v>
      </c>
      <c r="M51" s="28"/>
      <c r="N51" s="28">
        <v>0</v>
      </c>
      <c r="O51" s="28">
        <f t="shared" si="0"/>
        <v>1185100</v>
      </c>
      <c r="P51" s="28">
        <f t="shared" si="1"/>
        <v>4269700</v>
      </c>
      <c r="Q51" s="28"/>
      <c r="R51" s="28"/>
      <c r="S51" s="28"/>
      <c r="T51" s="28"/>
      <c r="U51" s="313"/>
      <c r="V51" s="313"/>
    </row>
    <row r="52" spans="1:22" s="314" customFormat="1">
      <c r="A52" s="457"/>
      <c r="B52" s="315" t="s">
        <v>93</v>
      </c>
      <c r="C52" s="467" t="s">
        <v>29</v>
      </c>
      <c r="D52" s="365"/>
      <c r="E52" s="365"/>
      <c r="F52" s="365"/>
      <c r="G52" s="365"/>
      <c r="H52" s="365"/>
      <c r="I52" s="365"/>
      <c r="J52" s="365"/>
      <c r="K52" s="28">
        <v>0</v>
      </c>
      <c r="L52" s="28">
        <v>567600</v>
      </c>
      <c r="M52" s="28">
        <v>0</v>
      </c>
      <c r="N52" s="28">
        <v>0</v>
      </c>
      <c r="O52" s="28">
        <f t="shared" si="0"/>
        <v>567600</v>
      </c>
      <c r="P52" s="28">
        <f t="shared" si="1"/>
        <v>567600</v>
      </c>
      <c r="Q52" s="28"/>
      <c r="R52" s="28"/>
      <c r="S52" s="28"/>
      <c r="T52" s="28"/>
      <c r="U52" s="313"/>
      <c r="V52" s="313"/>
    </row>
    <row r="53" spans="1:22" s="314" customFormat="1">
      <c r="A53" s="457"/>
      <c r="B53" s="315" t="s">
        <v>93</v>
      </c>
      <c r="C53" s="460" t="s">
        <v>435</v>
      </c>
      <c r="D53" s="461"/>
      <c r="E53" s="461"/>
      <c r="F53" s="461"/>
      <c r="G53" s="461"/>
      <c r="H53" s="461"/>
      <c r="I53" s="461"/>
      <c r="J53" s="461"/>
      <c r="K53" s="463" t="s">
        <v>18</v>
      </c>
      <c r="L53" s="463" t="s">
        <v>18</v>
      </c>
      <c r="M53" s="464"/>
      <c r="N53" s="464"/>
      <c r="O53" s="464"/>
      <c r="P53" s="464"/>
      <c r="Q53" s="464"/>
      <c r="R53" s="464"/>
      <c r="S53" s="464"/>
      <c r="T53" s="464"/>
      <c r="U53" s="313"/>
      <c r="V53" s="313"/>
    </row>
    <row r="54" spans="1:22" hidden="1">
      <c r="A54" s="389"/>
      <c r="B54" s="315" t="s">
        <v>93</v>
      </c>
      <c r="C54" s="390" t="s">
        <v>436</v>
      </c>
      <c r="D54" s="391"/>
      <c r="E54" s="391"/>
      <c r="F54" s="391"/>
      <c r="G54" s="391"/>
      <c r="H54" s="391"/>
      <c r="I54" s="391"/>
      <c r="J54" s="391"/>
      <c r="K54" s="393">
        <f>600+8899.25+18540+6450</f>
        <v>34489.25</v>
      </c>
      <c r="L54" s="393">
        <f>3500+4520+2450+39267.72+21135.48+18350</f>
        <v>89223.2</v>
      </c>
      <c r="M54" s="394"/>
      <c r="N54" s="394"/>
      <c r="O54" s="394"/>
      <c r="P54" s="394"/>
      <c r="Q54" s="394"/>
      <c r="R54" s="394"/>
      <c r="S54" s="394"/>
      <c r="T54" s="394"/>
      <c r="U54" s="323"/>
      <c r="V54" s="323"/>
    </row>
    <row r="55" spans="1:22" hidden="1">
      <c r="A55" s="389"/>
      <c r="B55" s="315" t="s">
        <v>93</v>
      </c>
      <c r="C55" s="390" t="s">
        <v>437</v>
      </c>
      <c r="D55" s="391"/>
      <c r="E55" s="391"/>
      <c r="F55" s="391"/>
      <c r="G55" s="391"/>
      <c r="H55" s="391"/>
      <c r="I55" s="391"/>
      <c r="J55" s="391"/>
      <c r="K55" s="393">
        <f>4765.75+0+15444.5</f>
        <v>20210.25</v>
      </c>
      <c r="L55" s="393">
        <f>21100+10400+42200+20800+18100+7800+150</f>
        <v>120550</v>
      </c>
      <c r="M55" s="394"/>
      <c r="N55" s="394"/>
      <c r="O55" s="394"/>
      <c r="P55" s="394"/>
      <c r="Q55" s="394"/>
      <c r="R55" s="394"/>
      <c r="S55" s="394"/>
      <c r="T55" s="394"/>
      <c r="U55" s="323"/>
      <c r="V55" s="323"/>
    </row>
    <row r="56" spans="1:22" hidden="1">
      <c r="A56" s="389"/>
      <c r="B56" s="315" t="s">
        <v>93</v>
      </c>
      <c r="C56" s="390" t="s">
        <v>438</v>
      </c>
      <c r="D56" s="391"/>
      <c r="E56" s="391"/>
      <c r="F56" s="391"/>
      <c r="G56" s="391"/>
      <c r="H56" s="391"/>
      <c r="I56" s="391"/>
      <c r="J56" s="391"/>
      <c r="K56" s="393">
        <f>14650+12600+21870</f>
        <v>49120</v>
      </c>
      <c r="L56" s="393">
        <f>12500+7800+13000+23700+7800+53450+18290</f>
        <v>136540</v>
      </c>
      <c r="M56" s="394"/>
      <c r="N56" s="394"/>
      <c r="O56" s="394"/>
      <c r="P56" s="394"/>
      <c r="Q56" s="394"/>
      <c r="R56" s="394"/>
      <c r="S56" s="394"/>
      <c r="T56" s="394"/>
      <c r="U56" s="323"/>
      <c r="V56" s="323"/>
    </row>
    <row r="57" spans="1:22" s="314" customFormat="1" ht="37.5">
      <c r="A57" s="457"/>
      <c r="B57" s="315" t="s">
        <v>93</v>
      </c>
      <c r="C57" s="467" t="s">
        <v>796</v>
      </c>
      <c r="D57" s="365"/>
      <c r="E57" s="365"/>
      <c r="F57" s="365"/>
      <c r="G57" s="365"/>
      <c r="H57" s="365"/>
      <c r="I57" s="365"/>
      <c r="J57" s="365"/>
      <c r="K57" s="28">
        <v>648000</v>
      </c>
      <c r="L57" s="28">
        <v>0</v>
      </c>
      <c r="M57" s="28">
        <v>0</v>
      </c>
      <c r="N57" s="28">
        <v>0</v>
      </c>
      <c r="O57" s="28">
        <f>L57+N57</f>
        <v>0</v>
      </c>
      <c r="P57" s="28">
        <f>K57+O57</f>
        <v>648000</v>
      </c>
      <c r="Q57" s="28"/>
      <c r="R57" s="28"/>
      <c r="S57" s="28"/>
      <c r="T57" s="28"/>
      <c r="U57" s="313"/>
      <c r="V57" s="313"/>
    </row>
    <row r="58" spans="1:22" s="314" customFormat="1">
      <c r="A58" s="457"/>
      <c r="B58" s="315" t="s">
        <v>93</v>
      </c>
      <c r="C58" s="460" t="s">
        <v>435</v>
      </c>
      <c r="D58" s="461"/>
      <c r="E58" s="461"/>
      <c r="F58" s="461"/>
      <c r="G58" s="461"/>
      <c r="H58" s="461"/>
      <c r="I58" s="461"/>
      <c r="J58" s="461"/>
      <c r="K58" s="463" t="s">
        <v>18</v>
      </c>
      <c r="L58" s="463" t="s">
        <v>18</v>
      </c>
      <c r="M58" s="464"/>
      <c r="N58" s="464"/>
      <c r="O58" s="464"/>
      <c r="P58" s="464"/>
      <c r="Q58" s="464"/>
      <c r="R58" s="464"/>
      <c r="S58" s="464"/>
      <c r="T58" s="464"/>
      <c r="U58" s="313"/>
      <c r="V58" s="313"/>
    </row>
    <row r="59" spans="1:22" hidden="1">
      <c r="A59" s="389"/>
      <c r="B59" s="315" t="s">
        <v>93</v>
      </c>
      <c r="C59" s="390" t="s">
        <v>436</v>
      </c>
      <c r="D59" s="391"/>
      <c r="E59" s="391"/>
      <c r="F59" s="391"/>
      <c r="G59" s="391"/>
      <c r="H59" s="391"/>
      <c r="I59" s="391"/>
      <c r="J59" s="391"/>
      <c r="K59" s="393">
        <f>143083.2+72711.6+50926.8</f>
        <v>266721.60000000003</v>
      </c>
      <c r="L59" s="393">
        <f>8089+600</f>
        <v>8689</v>
      </c>
      <c r="M59" s="394"/>
      <c r="N59" s="394"/>
      <c r="O59" s="394"/>
      <c r="P59" s="394"/>
      <c r="Q59" s="394"/>
      <c r="R59" s="394"/>
      <c r="S59" s="394"/>
      <c r="T59" s="394"/>
      <c r="U59" s="323"/>
      <c r="V59" s="323"/>
    </row>
    <row r="60" spans="1:22" hidden="1">
      <c r="A60" s="389"/>
      <c r="B60" s="315" t="s">
        <v>93</v>
      </c>
      <c r="C60" s="390" t="s">
        <v>437</v>
      </c>
      <c r="D60" s="391"/>
      <c r="E60" s="391"/>
      <c r="F60" s="391"/>
      <c r="G60" s="391"/>
      <c r="H60" s="391"/>
      <c r="I60" s="391"/>
      <c r="J60" s="391"/>
      <c r="K60" s="393">
        <f>20653.4+16132.11+34083.7+5994</f>
        <v>76863.209999999992</v>
      </c>
      <c r="L60" s="393">
        <f>3250+9866</f>
        <v>13116</v>
      </c>
      <c r="M60" s="394"/>
      <c r="N60" s="394"/>
      <c r="O60" s="394"/>
      <c r="P60" s="394"/>
      <c r="Q60" s="394"/>
      <c r="R60" s="394"/>
      <c r="S60" s="394"/>
      <c r="T60" s="394"/>
      <c r="U60" s="323"/>
      <c r="V60" s="323"/>
    </row>
    <row r="61" spans="1:22" hidden="1">
      <c r="A61" s="389"/>
      <c r="B61" s="315" t="s">
        <v>93</v>
      </c>
      <c r="C61" s="390" t="s">
        <v>438</v>
      </c>
      <c r="D61" s="391"/>
      <c r="E61" s="391"/>
      <c r="F61" s="391"/>
      <c r="G61" s="391"/>
      <c r="H61" s="391"/>
      <c r="I61" s="391"/>
      <c r="J61" s="391"/>
      <c r="K61" s="393">
        <f>43142+526787.05+301357.7</f>
        <v>871286.75</v>
      </c>
      <c r="L61" s="393">
        <f>1378+17860.2</f>
        <v>19238.2</v>
      </c>
      <c r="M61" s="394"/>
      <c r="N61" s="394"/>
      <c r="O61" s="394"/>
      <c r="P61" s="394"/>
      <c r="Q61" s="394"/>
      <c r="R61" s="394"/>
      <c r="S61" s="394"/>
      <c r="T61" s="394"/>
      <c r="U61" s="323"/>
      <c r="V61" s="323"/>
    </row>
    <row r="62" spans="1:22" s="314" customFormat="1">
      <c r="A62" s="457"/>
      <c r="B62" s="315" t="s">
        <v>93</v>
      </c>
      <c r="C62" s="467" t="s">
        <v>31</v>
      </c>
      <c r="D62" s="365"/>
      <c r="E62" s="365"/>
      <c r="F62" s="365"/>
      <c r="G62" s="365"/>
      <c r="H62" s="365"/>
      <c r="I62" s="365"/>
      <c r="J62" s="365"/>
      <c r="K62" s="28">
        <v>2145800</v>
      </c>
      <c r="L62" s="28">
        <f>218400+111850</f>
        <v>330250</v>
      </c>
      <c r="M62" s="28">
        <v>0</v>
      </c>
      <c r="N62" s="10">
        <v>0</v>
      </c>
      <c r="O62" s="28">
        <f>L62+N62</f>
        <v>330250</v>
      </c>
      <c r="P62" s="28">
        <f>K62+O62</f>
        <v>2476050</v>
      </c>
      <c r="Q62" s="28"/>
      <c r="R62" s="28"/>
      <c r="S62" s="28"/>
      <c r="T62" s="28"/>
      <c r="U62" s="313"/>
      <c r="V62" s="313"/>
    </row>
    <row r="63" spans="1:22" s="314" customFormat="1">
      <c r="A63" s="457"/>
      <c r="B63" s="315" t="s">
        <v>93</v>
      </c>
      <c r="C63" s="460" t="s">
        <v>435</v>
      </c>
      <c r="D63" s="461"/>
      <c r="E63" s="461"/>
      <c r="F63" s="461"/>
      <c r="G63" s="461"/>
      <c r="H63" s="461"/>
      <c r="I63" s="461"/>
      <c r="J63" s="461"/>
      <c r="K63" s="463">
        <v>0</v>
      </c>
      <c r="L63" s="463">
        <v>0</v>
      </c>
      <c r="M63" s="464"/>
      <c r="N63" s="464"/>
      <c r="O63" s="464"/>
      <c r="P63" s="464"/>
      <c r="Q63" s="464"/>
      <c r="R63" s="464"/>
      <c r="S63" s="464"/>
      <c r="T63" s="464"/>
      <c r="U63" s="313"/>
      <c r="V63" s="313"/>
    </row>
    <row r="64" spans="1:22" hidden="1">
      <c r="A64" s="389"/>
      <c r="B64" s="315" t="s">
        <v>93</v>
      </c>
      <c r="C64" s="390" t="s">
        <v>436</v>
      </c>
      <c r="D64" s="391"/>
      <c r="E64" s="391"/>
      <c r="F64" s="391"/>
      <c r="G64" s="391"/>
      <c r="H64" s="391"/>
      <c r="I64" s="391"/>
      <c r="J64" s="391"/>
      <c r="K64" s="393">
        <f>143083.2+72711.6+50926.8</f>
        <v>266721.60000000003</v>
      </c>
      <c r="L64" s="393">
        <f>8089+600</f>
        <v>8689</v>
      </c>
      <c r="M64" s="394"/>
      <c r="N64" s="394"/>
      <c r="O64" s="394"/>
      <c r="P64" s="394"/>
      <c r="Q64" s="394"/>
      <c r="R64" s="394"/>
      <c r="S64" s="394"/>
      <c r="T64" s="394"/>
      <c r="U64" s="323"/>
      <c r="V64" s="323"/>
    </row>
    <row r="65" spans="1:22" hidden="1">
      <c r="A65" s="389"/>
      <c r="B65" s="315" t="s">
        <v>93</v>
      </c>
      <c r="C65" s="390" t="s">
        <v>437</v>
      </c>
      <c r="D65" s="391"/>
      <c r="E65" s="391"/>
      <c r="F65" s="391"/>
      <c r="G65" s="391"/>
      <c r="H65" s="391"/>
      <c r="I65" s="391"/>
      <c r="J65" s="391"/>
      <c r="K65" s="393">
        <f>20653.4+16132.11+34083.7+5994</f>
        <v>76863.209999999992</v>
      </c>
      <c r="L65" s="393">
        <f>3250+9866</f>
        <v>13116</v>
      </c>
      <c r="M65" s="394"/>
      <c r="N65" s="394"/>
      <c r="O65" s="394"/>
      <c r="P65" s="394"/>
      <c r="Q65" s="394"/>
      <c r="R65" s="394"/>
      <c r="S65" s="394"/>
      <c r="T65" s="394"/>
      <c r="U65" s="323"/>
      <c r="V65" s="323"/>
    </row>
    <row r="66" spans="1:22" hidden="1">
      <c r="A66" s="389"/>
      <c r="B66" s="315" t="s">
        <v>93</v>
      </c>
      <c r="C66" s="390" t="s">
        <v>438</v>
      </c>
      <c r="D66" s="391"/>
      <c r="E66" s="391"/>
      <c r="F66" s="391"/>
      <c r="G66" s="391"/>
      <c r="H66" s="391"/>
      <c r="I66" s="391"/>
      <c r="J66" s="391"/>
      <c r="K66" s="393">
        <f>43142+526787.05+301357.7</f>
        <v>871286.75</v>
      </c>
      <c r="L66" s="393">
        <f>1378+17860.2</f>
        <v>19238.2</v>
      </c>
      <c r="M66" s="394"/>
      <c r="N66" s="394"/>
      <c r="O66" s="394"/>
      <c r="P66" s="394"/>
      <c r="Q66" s="394"/>
      <c r="R66" s="394"/>
      <c r="S66" s="394"/>
      <c r="T66" s="394"/>
      <c r="U66" s="323"/>
      <c r="V66" s="323"/>
    </row>
    <row r="67" spans="1:22" hidden="1">
      <c r="A67" s="389"/>
      <c r="B67" s="315" t="s">
        <v>93</v>
      </c>
      <c r="C67" s="390" t="s">
        <v>436</v>
      </c>
      <c r="D67" s="391"/>
      <c r="E67" s="391"/>
      <c r="F67" s="391"/>
      <c r="G67" s="391"/>
      <c r="H67" s="391"/>
      <c r="I67" s="391"/>
      <c r="J67" s="391"/>
      <c r="K67" s="394">
        <v>0</v>
      </c>
      <c r="L67" s="393">
        <v>6558.64</v>
      </c>
      <c r="M67" s="394"/>
      <c r="N67" s="394"/>
      <c r="O67" s="394"/>
      <c r="P67" s="394"/>
      <c r="Q67" s="394"/>
      <c r="R67" s="394"/>
      <c r="S67" s="394"/>
      <c r="T67" s="394"/>
      <c r="U67" s="323"/>
      <c r="V67" s="323"/>
    </row>
    <row r="68" spans="1:22" hidden="1">
      <c r="A68" s="389"/>
      <c r="B68" s="315" t="s">
        <v>93</v>
      </c>
      <c r="C68" s="390" t="s">
        <v>437</v>
      </c>
      <c r="D68" s="391"/>
      <c r="E68" s="391"/>
      <c r="F68" s="391"/>
      <c r="G68" s="391"/>
      <c r="H68" s="391"/>
      <c r="I68" s="391"/>
      <c r="J68" s="391"/>
      <c r="K68" s="394">
        <v>0</v>
      </c>
      <c r="L68" s="393">
        <v>0</v>
      </c>
      <c r="M68" s="394"/>
      <c r="N68" s="394"/>
      <c r="O68" s="394"/>
      <c r="P68" s="394"/>
      <c r="Q68" s="394"/>
      <c r="R68" s="394"/>
      <c r="S68" s="394"/>
      <c r="T68" s="394"/>
      <c r="U68" s="323"/>
      <c r="V68" s="323"/>
    </row>
    <row r="69" spans="1:22" hidden="1">
      <c r="A69" s="389"/>
      <c r="B69" s="315" t="s">
        <v>93</v>
      </c>
      <c r="C69" s="390" t="s">
        <v>438</v>
      </c>
      <c r="D69" s="391"/>
      <c r="E69" s="391"/>
      <c r="F69" s="391"/>
      <c r="G69" s="391"/>
      <c r="H69" s="391"/>
      <c r="I69" s="391"/>
      <c r="J69" s="391"/>
      <c r="K69" s="394">
        <v>0</v>
      </c>
      <c r="L69" s="393">
        <v>0</v>
      </c>
      <c r="M69" s="394"/>
      <c r="N69" s="394"/>
      <c r="O69" s="394"/>
      <c r="P69" s="394"/>
      <c r="Q69" s="394"/>
      <c r="R69" s="394"/>
      <c r="S69" s="394"/>
      <c r="T69" s="394"/>
      <c r="U69" s="323"/>
      <c r="V69" s="323"/>
    </row>
    <row r="70" spans="1:22" s="314" customFormat="1">
      <c r="A70" s="457"/>
      <c r="B70" s="315" t="s">
        <v>93</v>
      </c>
      <c r="C70" s="467" t="s">
        <v>32</v>
      </c>
      <c r="D70" s="365"/>
      <c r="E70" s="365"/>
      <c r="F70" s="365"/>
      <c r="G70" s="365"/>
      <c r="H70" s="365"/>
      <c r="I70" s="365"/>
      <c r="J70" s="365"/>
      <c r="K70" s="28">
        <v>160000</v>
      </c>
      <c r="L70" s="28">
        <f>322860-131600-10000-16200-10</f>
        <v>165050</v>
      </c>
      <c r="M70" s="28">
        <v>0</v>
      </c>
      <c r="N70" s="28">
        <v>0</v>
      </c>
      <c r="O70" s="28">
        <f t="shared" si="0"/>
        <v>165050</v>
      </c>
      <c r="P70" s="28">
        <f t="shared" si="1"/>
        <v>325050</v>
      </c>
      <c r="Q70" s="28"/>
      <c r="R70" s="28"/>
      <c r="S70" s="28"/>
      <c r="T70" s="28"/>
      <c r="U70" s="313"/>
      <c r="V70" s="313"/>
    </row>
    <row r="71" spans="1:22" s="314" customFormat="1">
      <c r="A71" s="457"/>
      <c r="B71" s="315" t="s">
        <v>93</v>
      </c>
      <c r="C71" s="460" t="s">
        <v>435</v>
      </c>
      <c r="D71" s="461"/>
      <c r="E71" s="461"/>
      <c r="F71" s="461"/>
      <c r="G71" s="461"/>
      <c r="H71" s="461"/>
      <c r="I71" s="461"/>
      <c r="J71" s="461"/>
      <c r="K71" s="463" t="s">
        <v>18</v>
      </c>
      <c r="L71" s="463" t="s">
        <v>18</v>
      </c>
      <c r="M71" s="464"/>
      <c r="N71" s="464"/>
      <c r="O71" s="464"/>
      <c r="P71" s="464"/>
      <c r="Q71" s="464"/>
      <c r="R71" s="464"/>
      <c r="S71" s="464"/>
      <c r="T71" s="464"/>
      <c r="U71" s="313"/>
      <c r="V71" s="313"/>
    </row>
    <row r="72" spans="1:22" ht="37.5" hidden="1">
      <c r="A72" s="389"/>
      <c r="B72" s="315" t="s">
        <v>16</v>
      </c>
      <c r="C72" s="390" t="s">
        <v>436</v>
      </c>
      <c r="D72" s="391"/>
      <c r="E72" s="391"/>
      <c r="F72" s="391"/>
      <c r="G72" s="391"/>
      <c r="H72" s="391"/>
      <c r="I72" s="391"/>
      <c r="J72" s="391"/>
      <c r="K72" s="393">
        <f>50119.2+104004.95+82479.9</f>
        <v>236604.05</v>
      </c>
      <c r="L72" s="393">
        <f>5050+18000+8840+13650+2659+3409.91</f>
        <v>51608.91</v>
      </c>
      <c r="M72" s="394"/>
      <c r="N72" s="394"/>
      <c r="O72" s="394"/>
      <c r="P72" s="394"/>
      <c r="Q72" s="394"/>
      <c r="R72" s="394"/>
      <c r="S72" s="394"/>
      <c r="T72" s="394"/>
      <c r="U72" s="323"/>
      <c r="V72" s="323"/>
    </row>
    <row r="73" spans="1:22" ht="37.5" hidden="1">
      <c r="A73" s="389"/>
      <c r="B73" s="315" t="s">
        <v>16</v>
      </c>
      <c r="C73" s="390" t="s">
        <v>437</v>
      </c>
      <c r="D73" s="391"/>
      <c r="E73" s="391"/>
      <c r="F73" s="391"/>
      <c r="G73" s="391"/>
      <c r="H73" s="391"/>
      <c r="I73" s="391"/>
      <c r="J73" s="391"/>
      <c r="K73" s="393">
        <f>77990+74932.6+89849.7</f>
        <v>242772.3</v>
      </c>
      <c r="L73" s="393">
        <f>21342+6284+85400+2400+917</f>
        <v>116343</v>
      </c>
      <c r="M73" s="394"/>
      <c r="N73" s="394"/>
      <c r="O73" s="394"/>
      <c r="P73" s="394"/>
      <c r="Q73" s="394"/>
      <c r="R73" s="394"/>
      <c r="S73" s="394"/>
      <c r="T73" s="394"/>
      <c r="U73" s="323"/>
      <c r="V73" s="323"/>
    </row>
    <row r="74" spans="1:22" hidden="1">
      <c r="A74" s="389"/>
      <c r="B74" s="315"/>
      <c r="C74" s="390" t="s">
        <v>438</v>
      </c>
      <c r="D74" s="391"/>
      <c r="E74" s="391"/>
      <c r="F74" s="391"/>
      <c r="G74" s="391"/>
      <c r="H74" s="391"/>
      <c r="I74" s="391"/>
      <c r="J74" s="391"/>
      <c r="K74" s="393">
        <f>50856.21+26650+1500+48781.6+133172.85+44040.99+21795.8+155164.8+22867.87</f>
        <v>504830.12</v>
      </c>
      <c r="L74" s="393">
        <f>1240+25049+4500+23342+4002+32358.8+27539.5+8424.5</f>
        <v>126455.8</v>
      </c>
      <c r="M74" s="394"/>
      <c r="N74" s="394"/>
      <c r="O74" s="394"/>
      <c r="P74" s="394"/>
      <c r="Q74" s="394"/>
      <c r="R74" s="394"/>
      <c r="S74" s="394"/>
      <c r="T74" s="394"/>
      <c r="U74" s="323"/>
      <c r="V74" s="323"/>
    </row>
    <row r="75" spans="1:22" s="314" customFormat="1" ht="56.25">
      <c r="A75" s="457"/>
      <c r="B75" s="315" t="s">
        <v>16</v>
      </c>
      <c r="C75" s="467" t="s">
        <v>1003</v>
      </c>
      <c r="D75" s="365"/>
      <c r="E75" s="365"/>
      <c r="F75" s="365"/>
      <c r="G75" s="365"/>
      <c r="H75" s="365"/>
      <c r="I75" s="365"/>
      <c r="J75" s="365"/>
      <c r="K75" s="28">
        <f>SUM(K76:K80)</f>
        <v>130800</v>
      </c>
      <c r="L75" s="28">
        <f>SUM(L76:L81)</f>
        <v>122200</v>
      </c>
      <c r="M75" s="28">
        <f>SUM(M76:M80)</f>
        <v>0</v>
      </c>
      <c r="N75" s="28">
        <f>SUM(N76:N80)</f>
        <v>0</v>
      </c>
      <c r="O75" s="28">
        <f t="shared" si="0"/>
        <v>122200</v>
      </c>
      <c r="P75" s="28">
        <f t="shared" si="1"/>
        <v>253000</v>
      </c>
      <c r="Q75" s="28"/>
      <c r="R75" s="28"/>
      <c r="S75" s="28"/>
      <c r="T75" s="28"/>
      <c r="U75" s="313"/>
      <c r="V75" s="313"/>
    </row>
    <row r="76" spans="1:22" ht="219" customHeight="1">
      <c r="A76" s="311" t="s">
        <v>440</v>
      </c>
      <c r="B76" s="315" t="s">
        <v>46</v>
      </c>
      <c r="C76" s="468" t="s">
        <v>1015</v>
      </c>
      <c r="D76" s="374" t="s">
        <v>797</v>
      </c>
      <c r="E76" s="374" t="s">
        <v>441</v>
      </c>
      <c r="F76" s="374" t="s">
        <v>442</v>
      </c>
      <c r="G76" s="374" t="s">
        <v>443</v>
      </c>
      <c r="H76" s="374" t="s">
        <v>444</v>
      </c>
      <c r="I76" s="358" t="s">
        <v>445</v>
      </c>
      <c r="J76" s="397"/>
      <c r="K76" s="94">
        <v>60800</v>
      </c>
      <c r="L76" s="72">
        <v>0</v>
      </c>
      <c r="M76" s="72"/>
      <c r="N76" s="33">
        <v>0</v>
      </c>
      <c r="O76" s="28">
        <f t="shared" si="0"/>
        <v>0</v>
      </c>
      <c r="P76" s="28">
        <f t="shared" si="1"/>
        <v>60800</v>
      </c>
      <c r="Q76" s="28"/>
      <c r="R76" s="28"/>
      <c r="S76" s="28"/>
      <c r="T76" s="28"/>
      <c r="U76" s="313"/>
      <c r="V76" s="323"/>
    </row>
    <row r="77" spans="1:22" s="400" customFormat="1" ht="378" customHeight="1">
      <c r="A77" s="311">
        <v>1.2</v>
      </c>
      <c r="B77" s="315" t="s">
        <v>36</v>
      </c>
      <c r="C77" s="468" t="s">
        <v>798</v>
      </c>
      <c r="D77" s="374" t="s">
        <v>446</v>
      </c>
      <c r="E77" s="398" t="s">
        <v>1007</v>
      </c>
      <c r="F77" s="398" t="s">
        <v>447</v>
      </c>
      <c r="G77" s="398" t="s">
        <v>448</v>
      </c>
      <c r="H77" s="398" t="s">
        <v>449</v>
      </c>
      <c r="I77" s="398" t="s">
        <v>450</v>
      </c>
      <c r="J77" s="399" t="s">
        <v>451</v>
      </c>
      <c r="K77" s="13">
        <v>50000</v>
      </c>
      <c r="L77" s="23">
        <v>0</v>
      </c>
      <c r="M77" s="23"/>
      <c r="N77" s="23">
        <v>0</v>
      </c>
      <c r="O77" s="13">
        <f t="shared" si="0"/>
        <v>0</v>
      </c>
      <c r="P77" s="13">
        <f t="shared" si="1"/>
        <v>50000</v>
      </c>
      <c r="Q77" s="13"/>
      <c r="R77" s="13"/>
      <c r="S77" s="13"/>
      <c r="T77" s="13"/>
      <c r="U77" s="316"/>
      <c r="V77" s="317"/>
    </row>
    <row r="78" spans="1:22" s="400" customFormat="1" ht="180.75" customHeight="1">
      <c r="A78" s="311">
        <v>1.3</v>
      </c>
      <c r="B78" s="315" t="s">
        <v>14</v>
      </c>
      <c r="C78" s="468" t="s">
        <v>799</v>
      </c>
      <c r="D78" s="401" t="s">
        <v>700</v>
      </c>
      <c r="E78" s="401" t="s">
        <v>701</v>
      </c>
      <c r="F78" s="401" t="s">
        <v>702</v>
      </c>
      <c r="G78" s="401" t="s">
        <v>703</v>
      </c>
      <c r="H78" s="401" t="s">
        <v>704</v>
      </c>
      <c r="I78" s="401" t="s">
        <v>705</v>
      </c>
      <c r="J78" s="399" t="s">
        <v>451</v>
      </c>
      <c r="K78" s="13">
        <v>20000</v>
      </c>
      <c r="L78" s="23">
        <v>0</v>
      </c>
      <c r="M78" s="23"/>
      <c r="N78" s="23">
        <v>0</v>
      </c>
      <c r="O78" s="13">
        <f t="shared" ref="O78" si="4">L78+N78</f>
        <v>0</v>
      </c>
      <c r="P78" s="13">
        <f t="shared" ref="P78" si="5">K78+O78</f>
        <v>20000</v>
      </c>
      <c r="Q78" s="13"/>
      <c r="R78" s="13"/>
      <c r="S78" s="13"/>
      <c r="T78" s="13"/>
      <c r="U78" s="316"/>
      <c r="V78" s="317"/>
    </row>
    <row r="79" spans="1:22" s="373" customFormat="1" ht="165" customHeight="1">
      <c r="A79" s="311">
        <v>1.4</v>
      </c>
      <c r="B79" s="315" t="s">
        <v>43</v>
      </c>
      <c r="C79" s="468" t="s">
        <v>800</v>
      </c>
      <c r="D79" s="319" t="s">
        <v>457</v>
      </c>
      <c r="E79" s="319" t="s">
        <v>458</v>
      </c>
      <c r="F79" s="319" t="s">
        <v>459</v>
      </c>
      <c r="G79" s="319" t="s">
        <v>460</v>
      </c>
      <c r="H79" s="319" t="s">
        <v>461</v>
      </c>
      <c r="I79" s="319" t="s">
        <v>462</v>
      </c>
      <c r="J79" s="401"/>
      <c r="K79" s="327">
        <v>0</v>
      </c>
      <c r="L79" s="328">
        <v>10000</v>
      </c>
      <c r="M79" s="328"/>
      <c r="N79" s="328">
        <v>0</v>
      </c>
      <c r="O79" s="329">
        <f t="shared" si="0"/>
        <v>10000</v>
      </c>
      <c r="P79" s="329">
        <f t="shared" si="1"/>
        <v>10000</v>
      </c>
      <c r="Q79" s="329"/>
      <c r="R79" s="325"/>
      <c r="S79" s="330"/>
      <c r="T79" s="331"/>
      <c r="U79" s="325"/>
      <c r="V79" s="325"/>
    </row>
    <row r="80" spans="1:22" s="373" customFormat="1" ht="58.5" customHeight="1">
      <c r="A80" s="311">
        <v>1.6</v>
      </c>
      <c r="B80" s="315" t="s">
        <v>46</v>
      </c>
      <c r="C80" s="468" t="s">
        <v>1006</v>
      </c>
      <c r="D80" s="319" t="s">
        <v>18</v>
      </c>
      <c r="E80" s="319" t="s">
        <v>18</v>
      </c>
      <c r="F80" s="319" t="s">
        <v>18</v>
      </c>
      <c r="G80" s="319" t="s">
        <v>18</v>
      </c>
      <c r="H80" s="319" t="s">
        <v>18</v>
      </c>
      <c r="I80" s="319" t="s">
        <v>18</v>
      </c>
      <c r="J80" s="401"/>
      <c r="K80" s="327">
        <v>0</v>
      </c>
      <c r="L80" s="328">
        <v>96000</v>
      </c>
      <c r="M80" s="328">
        <v>0</v>
      </c>
      <c r="N80" s="328">
        <v>0</v>
      </c>
      <c r="O80" s="329">
        <f t="shared" ref="O80" si="6">L80+N80</f>
        <v>96000</v>
      </c>
      <c r="P80" s="329">
        <f t="shared" ref="P80" si="7">K80+O80</f>
        <v>96000</v>
      </c>
      <c r="Q80" s="329"/>
      <c r="R80" s="325"/>
      <c r="S80" s="330"/>
      <c r="T80" s="331"/>
      <c r="U80" s="325"/>
      <c r="V80" s="325"/>
    </row>
    <row r="81" spans="1:23" s="373" customFormat="1" ht="135" customHeight="1">
      <c r="A81" s="311">
        <v>1.7</v>
      </c>
      <c r="B81" s="315" t="s">
        <v>46</v>
      </c>
      <c r="C81" s="468" t="s">
        <v>903</v>
      </c>
      <c r="D81" s="448" t="s">
        <v>904</v>
      </c>
      <c r="E81" s="448" t="s">
        <v>905</v>
      </c>
      <c r="F81" s="448" t="s">
        <v>735</v>
      </c>
      <c r="G81" s="448" t="s">
        <v>736</v>
      </c>
      <c r="H81" s="448" t="s">
        <v>737</v>
      </c>
      <c r="I81" s="376" t="s">
        <v>510</v>
      </c>
      <c r="J81" s="376"/>
      <c r="K81" s="327">
        <v>0</v>
      </c>
      <c r="L81" s="328">
        <v>16200</v>
      </c>
      <c r="M81" s="327">
        <v>0</v>
      </c>
      <c r="N81" s="33">
        <v>16200</v>
      </c>
      <c r="O81" s="28"/>
      <c r="P81" s="28"/>
      <c r="Q81" s="28"/>
      <c r="R81" s="28"/>
      <c r="S81" s="28"/>
      <c r="T81" s="28"/>
      <c r="U81" s="535"/>
      <c r="V81" s="313"/>
    </row>
    <row r="82" spans="1:23" s="314" customFormat="1" ht="54" customHeight="1">
      <c r="A82" s="662">
        <v>2</v>
      </c>
      <c r="B82" s="663" t="s">
        <v>47</v>
      </c>
      <c r="C82" s="645" t="s">
        <v>48</v>
      </c>
      <c r="D82" s="365"/>
      <c r="E82" s="365"/>
      <c r="F82" s="365"/>
      <c r="G82" s="365"/>
      <c r="H82" s="365"/>
      <c r="I82" s="365"/>
      <c r="J82" s="365"/>
      <c r="K82" s="28">
        <f>SUM(K83:K87)</f>
        <v>0</v>
      </c>
      <c r="L82" s="28">
        <f>SUM(L83:L87)</f>
        <v>75000</v>
      </c>
      <c r="M82" s="28">
        <f>SUM(M83:M87)</f>
        <v>0</v>
      </c>
      <c r="N82" s="28">
        <f>SUM(N83:N87)</f>
        <v>0</v>
      </c>
      <c r="O82" s="28">
        <f t="shared" ref="O82" si="8">L82+N82</f>
        <v>75000</v>
      </c>
      <c r="P82" s="28">
        <f t="shared" ref="P82" si="9">K82+O82</f>
        <v>75000</v>
      </c>
      <c r="Q82" s="28"/>
      <c r="R82" s="28"/>
      <c r="S82" s="28"/>
      <c r="T82" s="28"/>
      <c r="U82" s="313"/>
      <c r="V82" s="313"/>
    </row>
    <row r="83" spans="1:23" s="50" customFormat="1" ht="37.5">
      <c r="A83" s="311" t="s">
        <v>18</v>
      </c>
      <c r="B83" s="48"/>
      <c r="C83" s="563" t="s">
        <v>994</v>
      </c>
      <c r="D83" s="642"/>
      <c r="E83" s="203"/>
      <c r="F83" s="203"/>
      <c r="G83" s="20"/>
      <c r="H83" s="28"/>
      <c r="I83" s="10"/>
      <c r="J83" s="644"/>
      <c r="K83" s="10"/>
      <c r="L83" s="28"/>
      <c r="M83" s="95"/>
      <c r="N83" s="95"/>
      <c r="O83" s="95"/>
      <c r="P83" s="95"/>
      <c r="Q83" s="95"/>
      <c r="R83" s="95"/>
      <c r="S83" s="95"/>
      <c r="T83" s="95"/>
      <c r="U83" s="95"/>
      <c r="V83" s="95"/>
    </row>
    <row r="84" spans="1:23" s="50" customFormat="1" ht="269.25" customHeight="1">
      <c r="A84" s="311">
        <v>2.1</v>
      </c>
      <c r="B84" s="343" t="s">
        <v>47</v>
      </c>
      <c r="C84" s="520" t="s">
        <v>995</v>
      </c>
      <c r="D84" s="320" t="s">
        <v>463</v>
      </c>
      <c r="E84" s="320" t="s">
        <v>464</v>
      </c>
      <c r="F84" s="320" t="s">
        <v>465</v>
      </c>
      <c r="G84" s="320" t="s">
        <v>466</v>
      </c>
      <c r="H84" s="334" t="s">
        <v>467</v>
      </c>
      <c r="I84" s="335" t="s">
        <v>467</v>
      </c>
      <c r="J84" s="644"/>
      <c r="K84" s="10">
        <v>0</v>
      </c>
      <c r="L84" s="28">
        <v>25000</v>
      </c>
      <c r="M84" s="183">
        <v>0</v>
      </c>
      <c r="N84" s="183">
        <v>0</v>
      </c>
      <c r="O84" s="28">
        <f t="shared" ref="O84" si="10">L84+N84</f>
        <v>25000</v>
      </c>
      <c r="P84" s="28">
        <f t="shared" ref="P84" si="11">K84+O84</f>
        <v>25000</v>
      </c>
      <c r="Q84" s="95"/>
      <c r="R84" s="95"/>
      <c r="S84" s="95"/>
      <c r="T84" s="95"/>
      <c r="U84" s="95"/>
      <c r="V84" s="95"/>
    </row>
    <row r="85" spans="1:23" s="50" customFormat="1" ht="207">
      <c r="A85" s="311">
        <v>2.2000000000000002</v>
      </c>
      <c r="B85" s="343" t="s">
        <v>47</v>
      </c>
      <c r="C85" s="520" t="s">
        <v>1016</v>
      </c>
      <c r="D85" s="320" t="s">
        <v>1000</v>
      </c>
      <c r="E85" s="320" t="s">
        <v>468</v>
      </c>
      <c r="F85" s="320" t="s">
        <v>469</v>
      </c>
      <c r="G85" s="320" t="s">
        <v>470</v>
      </c>
      <c r="H85" s="320" t="s">
        <v>471</v>
      </c>
      <c r="I85" s="334" t="s">
        <v>472</v>
      </c>
      <c r="J85" s="644"/>
      <c r="K85" s="10">
        <v>0</v>
      </c>
      <c r="L85" s="28">
        <v>20000</v>
      </c>
      <c r="M85" s="183">
        <v>0</v>
      </c>
      <c r="N85" s="183">
        <v>0</v>
      </c>
      <c r="O85" s="28">
        <f t="shared" ref="O85" si="12">L85+N85</f>
        <v>20000</v>
      </c>
      <c r="P85" s="28">
        <f t="shared" ref="P85" si="13">K85+O85</f>
        <v>20000</v>
      </c>
      <c r="Q85" s="95"/>
      <c r="R85" s="95"/>
      <c r="S85" s="95"/>
      <c r="T85" s="95"/>
      <c r="U85" s="95"/>
      <c r="V85" s="95"/>
    </row>
    <row r="86" spans="1:23" s="50" customFormat="1" ht="192" customHeight="1">
      <c r="A86" s="311">
        <v>2.2999999999999998</v>
      </c>
      <c r="B86" s="343" t="s">
        <v>47</v>
      </c>
      <c r="C86" s="520" t="s">
        <v>996</v>
      </c>
      <c r="D86" s="320" t="s">
        <v>1017</v>
      </c>
      <c r="E86" s="320" t="s">
        <v>473</v>
      </c>
      <c r="F86" s="320" t="s">
        <v>474</v>
      </c>
      <c r="G86" s="320" t="s">
        <v>475</v>
      </c>
      <c r="H86" s="320" t="s">
        <v>466</v>
      </c>
      <c r="I86" s="334" t="s">
        <v>476</v>
      </c>
      <c r="J86" s="644"/>
      <c r="K86" s="10">
        <v>0</v>
      </c>
      <c r="L86" s="28">
        <v>10000</v>
      </c>
      <c r="M86" s="183">
        <v>0</v>
      </c>
      <c r="N86" s="183">
        <v>0</v>
      </c>
      <c r="O86" s="28">
        <f t="shared" ref="O86" si="14">L86+N86</f>
        <v>10000</v>
      </c>
      <c r="P86" s="28">
        <f t="shared" ref="P86" si="15">K86+O86</f>
        <v>10000</v>
      </c>
      <c r="Q86" s="95"/>
      <c r="R86" s="95"/>
      <c r="S86" s="95"/>
      <c r="T86" s="95"/>
      <c r="U86" s="95"/>
      <c r="V86" s="95"/>
    </row>
    <row r="87" spans="1:23" s="50" customFormat="1" ht="275.25" customHeight="1">
      <c r="A87" s="311">
        <v>2.4</v>
      </c>
      <c r="B87" s="343" t="s">
        <v>47</v>
      </c>
      <c r="C87" s="520" t="s">
        <v>997</v>
      </c>
      <c r="D87" s="320" t="s">
        <v>1018</v>
      </c>
      <c r="E87" s="320" t="s">
        <v>477</v>
      </c>
      <c r="F87" s="320" t="s">
        <v>478</v>
      </c>
      <c r="G87" s="320" t="s">
        <v>479</v>
      </c>
      <c r="H87" s="320" t="s">
        <v>471</v>
      </c>
      <c r="I87" s="334" t="s">
        <v>480</v>
      </c>
      <c r="J87" s="644"/>
      <c r="K87" s="10">
        <v>0</v>
      </c>
      <c r="L87" s="28">
        <v>20000</v>
      </c>
      <c r="M87" s="183">
        <v>0</v>
      </c>
      <c r="N87" s="183">
        <v>0</v>
      </c>
      <c r="O87" s="28">
        <f t="shared" ref="O87" si="16">L87+N87</f>
        <v>20000</v>
      </c>
      <c r="P87" s="28">
        <f t="shared" ref="P87" si="17">K87+O87</f>
        <v>20000</v>
      </c>
      <c r="Q87" s="95"/>
      <c r="R87" s="95"/>
      <c r="S87" s="95"/>
      <c r="T87" s="95"/>
      <c r="U87" s="95"/>
      <c r="V87" s="95"/>
    </row>
    <row r="88" spans="1:23" s="50" customFormat="1" ht="285" customHeight="1">
      <c r="A88" s="311">
        <v>2.5</v>
      </c>
      <c r="B88" s="343" t="s">
        <v>47</v>
      </c>
      <c r="C88" s="520" t="s">
        <v>998</v>
      </c>
      <c r="D88" s="320" t="s">
        <v>1001</v>
      </c>
      <c r="E88" s="320" t="s">
        <v>481</v>
      </c>
      <c r="F88" s="320" t="s">
        <v>482</v>
      </c>
      <c r="G88" s="320" t="s">
        <v>483</v>
      </c>
      <c r="H88" s="320" t="s">
        <v>466</v>
      </c>
      <c r="I88" s="334" t="s">
        <v>484</v>
      </c>
      <c r="J88" s="644"/>
      <c r="K88" s="10">
        <v>0</v>
      </c>
      <c r="L88" s="28">
        <v>6600</v>
      </c>
      <c r="M88" s="183">
        <v>0</v>
      </c>
      <c r="N88" s="183">
        <v>0</v>
      </c>
      <c r="O88" s="28">
        <f t="shared" ref="O88" si="18">L88+N88</f>
        <v>6600</v>
      </c>
      <c r="P88" s="28">
        <f t="shared" ref="P88" si="19">K88+O88</f>
        <v>6600</v>
      </c>
      <c r="Q88" s="95"/>
      <c r="R88" s="95"/>
      <c r="S88" s="95"/>
      <c r="T88" s="95"/>
      <c r="U88" s="95"/>
      <c r="V88" s="95"/>
    </row>
    <row r="89" spans="1:23" s="50" customFormat="1" ht="224.25">
      <c r="A89" s="311">
        <v>2.6</v>
      </c>
      <c r="B89" s="343" t="s">
        <v>47</v>
      </c>
      <c r="C89" s="520" t="s">
        <v>999</v>
      </c>
      <c r="D89" s="320" t="s">
        <v>1002</v>
      </c>
      <c r="E89" s="320" t="s">
        <v>485</v>
      </c>
      <c r="F89" s="320" t="s">
        <v>486</v>
      </c>
      <c r="G89" s="320" t="s">
        <v>487</v>
      </c>
      <c r="H89" s="320" t="s">
        <v>488</v>
      </c>
      <c r="I89" s="334" t="s">
        <v>489</v>
      </c>
      <c r="J89" s="644"/>
      <c r="K89" s="10">
        <v>0</v>
      </c>
      <c r="L89" s="28">
        <v>15000</v>
      </c>
      <c r="M89" s="183">
        <v>0</v>
      </c>
      <c r="N89" s="183">
        <v>0</v>
      </c>
      <c r="O89" s="28">
        <f t="shared" ref="O89" si="20">L89+N89</f>
        <v>15000</v>
      </c>
      <c r="P89" s="28">
        <f t="shared" ref="P89" si="21">K89+O89</f>
        <v>15000</v>
      </c>
      <c r="Q89" s="95"/>
      <c r="R89" s="95"/>
      <c r="S89" s="95"/>
      <c r="T89" s="95"/>
      <c r="U89" s="95"/>
      <c r="V89" s="95"/>
    </row>
    <row r="90" spans="1:23" s="50" customFormat="1" ht="185.25" customHeight="1">
      <c r="A90" s="311">
        <v>2.7</v>
      </c>
      <c r="B90" s="343" t="s">
        <v>47</v>
      </c>
      <c r="C90" s="520" t="s">
        <v>1019</v>
      </c>
      <c r="D90" s="319" t="s">
        <v>1005</v>
      </c>
      <c r="E90" s="319" t="s">
        <v>490</v>
      </c>
      <c r="F90" s="319" t="s">
        <v>491</v>
      </c>
      <c r="G90" s="319" t="s">
        <v>492</v>
      </c>
      <c r="H90" s="319" t="s">
        <v>493</v>
      </c>
      <c r="I90" s="320" t="s">
        <v>484</v>
      </c>
      <c r="J90" s="644"/>
      <c r="K90" s="10">
        <v>0</v>
      </c>
      <c r="L90" s="28">
        <v>20000</v>
      </c>
      <c r="M90" s="183">
        <v>0</v>
      </c>
      <c r="N90" s="183">
        <v>0</v>
      </c>
      <c r="O90" s="28">
        <f t="shared" ref="O90" si="22">L90+N90</f>
        <v>20000</v>
      </c>
      <c r="P90" s="28">
        <f t="shared" ref="P90" si="23">K90+O90</f>
        <v>20000</v>
      </c>
      <c r="Q90" s="95"/>
      <c r="R90" s="95"/>
      <c r="S90" s="95"/>
      <c r="T90" s="95"/>
      <c r="U90" s="95"/>
      <c r="V90" s="95"/>
    </row>
    <row r="91" spans="1:23" s="314" customFormat="1" ht="219.75" customHeight="1">
      <c r="A91" s="311" t="s">
        <v>494</v>
      </c>
      <c r="B91" s="343" t="s">
        <v>47</v>
      </c>
      <c r="C91" s="344" t="s">
        <v>802</v>
      </c>
      <c r="D91" s="325" t="s">
        <v>651</v>
      </c>
      <c r="E91" s="325" t="s">
        <v>901</v>
      </c>
      <c r="F91" s="325" t="s">
        <v>900</v>
      </c>
      <c r="G91" s="325" t="s">
        <v>652</v>
      </c>
      <c r="H91" s="339" t="s">
        <v>484</v>
      </c>
      <c r="I91" s="312" t="s">
        <v>450</v>
      </c>
      <c r="J91" s="527" t="s">
        <v>445</v>
      </c>
      <c r="K91" s="47">
        <v>0</v>
      </c>
      <c r="L91" s="93">
        <v>10000</v>
      </c>
      <c r="M91" s="47">
        <v>0</v>
      </c>
      <c r="N91" s="33">
        <v>0</v>
      </c>
      <c r="O91" s="28">
        <f t="shared" si="0"/>
        <v>10000</v>
      </c>
      <c r="P91" s="28">
        <f t="shared" si="1"/>
        <v>10000</v>
      </c>
      <c r="Q91" s="28"/>
      <c r="R91" s="28"/>
      <c r="S91" s="28"/>
      <c r="T91" s="28"/>
      <c r="U91" s="317"/>
      <c r="V91" s="317"/>
    </row>
    <row r="92" spans="1:23" ht="37.5">
      <c r="A92" s="311">
        <v>2.9</v>
      </c>
      <c r="B92" s="343" t="s">
        <v>47</v>
      </c>
      <c r="C92" s="344" t="s">
        <v>803</v>
      </c>
      <c r="D92" s="358" t="s">
        <v>445</v>
      </c>
      <c r="E92" s="358" t="s">
        <v>445</v>
      </c>
      <c r="F92" s="358" t="s">
        <v>445</v>
      </c>
      <c r="G92" s="358" t="s">
        <v>445</v>
      </c>
      <c r="H92" s="358" t="s">
        <v>445</v>
      </c>
      <c r="I92" s="358" t="s">
        <v>445</v>
      </c>
      <c r="J92" s="358" t="s">
        <v>445</v>
      </c>
      <c r="K92" s="23">
        <v>0</v>
      </c>
      <c r="L92" s="33">
        <v>5000</v>
      </c>
      <c r="M92" s="33"/>
      <c r="N92" s="33"/>
      <c r="O92" s="28">
        <f t="shared" ref="O92" si="24">L92+N92</f>
        <v>5000</v>
      </c>
      <c r="P92" s="28">
        <f t="shared" ref="P92" si="25">K92+O92</f>
        <v>5000</v>
      </c>
      <c r="Q92" s="28"/>
      <c r="R92" s="28"/>
      <c r="S92" s="28"/>
      <c r="T92" s="28"/>
      <c r="U92" s="313"/>
      <c r="V92" s="317"/>
    </row>
    <row r="93" spans="1:23" s="373" customFormat="1" ht="370.5" customHeight="1">
      <c r="A93" s="470">
        <v>3</v>
      </c>
      <c r="B93" s="362" t="s">
        <v>496</v>
      </c>
      <c r="C93" s="471" t="s">
        <v>58</v>
      </c>
      <c r="D93" s="405" t="s">
        <v>497</v>
      </c>
      <c r="E93" s="405" t="s">
        <v>498</v>
      </c>
      <c r="F93" s="406" t="s">
        <v>499</v>
      </c>
      <c r="G93" s="406" t="s">
        <v>461</v>
      </c>
      <c r="H93" s="406">
        <v>100</v>
      </c>
      <c r="I93" s="407" t="s">
        <v>495</v>
      </c>
      <c r="J93" s="404"/>
      <c r="K93" s="10">
        <v>4821300</v>
      </c>
      <c r="L93" s="10">
        <v>0</v>
      </c>
      <c r="M93" s="10"/>
      <c r="N93" s="10">
        <v>0</v>
      </c>
      <c r="O93" s="28">
        <f t="shared" si="0"/>
        <v>0</v>
      </c>
      <c r="P93" s="10">
        <f>K93+O93</f>
        <v>4821300</v>
      </c>
      <c r="Q93" s="10"/>
      <c r="R93" s="10"/>
      <c r="S93" s="10"/>
      <c r="T93" s="10"/>
      <c r="U93" s="330"/>
      <c r="V93" s="363"/>
      <c r="W93" s="332"/>
    </row>
    <row r="94" spans="1:23" s="332" customFormat="1">
      <c r="A94" s="457"/>
      <c r="B94" s="350"/>
      <c r="C94" s="472" t="s">
        <v>29</v>
      </c>
      <c r="D94" s="473"/>
      <c r="E94" s="473"/>
      <c r="F94" s="473"/>
      <c r="G94" s="473"/>
      <c r="H94" s="473"/>
      <c r="I94" s="473"/>
      <c r="J94" s="473"/>
      <c r="K94" s="474">
        <f>SUM(K95:K119)</f>
        <v>4821300</v>
      </c>
      <c r="L94" s="10">
        <v>0</v>
      </c>
      <c r="M94" s="10"/>
      <c r="N94" s="10"/>
      <c r="O94" s="28">
        <f t="shared" si="0"/>
        <v>0</v>
      </c>
      <c r="P94" s="28">
        <f t="shared" si="1"/>
        <v>4821300</v>
      </c>
      <c r="Q94" s="28"/>
      <c r="R94" s="28"/>
      <c r="S94" s="28"/>
      <c r="T94" s="28"/>
      <c r="U94" s="313"/>
      <c r="V94" s="313"/>
    </row>
    <row r="95" spans="1:23" s="373" customFormat="1" ht="37.5">
      <c r="A95" s="457"/>
      <c r="B95" s="353" t="s">
        <v>496</v>
      </c>
      <c r="C95" s="475" t="s">
        <v>804</v>
      </c>
      <c r="D95" s="410"/>
      <c r="E95" s="410"/>
      <c r="F95" s="410"/>
      <c r="G95" s="410"/>
      <c r="H95" s="410"/>
      <c r="I95" s="410"/>
      <c r="J95" s="410"/>
      <c r="K95" s="354">
        <v>560000</v>
      </c>
      <c r="L95" s="10">
        <v>0</v>
      </c>
      <c r="M95" s="10">
        <v>0</v>
      </c>
      <c r="N95" s="175"/>
      <c r="O95" s="368">
        <f t="shared" si="0"/>
        <v>0</v>
      </c>
      <c r="P95" s="368">
        <f t="shared" si="1"/>
        <v>560000</v>
      </c>
      <c r="Q95" s="368"/>
      <c r="R95" s="368"/>
      <c r="S95" s="368"/>
      <c r="T95" s="368"/>
      <c r="U95" s="345"/>
      <c r="V95" s="323"/>
    </row>
    <row r="96" spans="1:23" s="373" customFormat="1" ht="37.5">
      <c r="A96" s="457"/>
      <c r="B96" s="353" t="s">
        <v>496</v>
      </c>
      <c r="C96" s="475" t="s">
        <v>805</v>
      </c>
      <c r="D96" s="410"/>
      <c r="E96" s="410"/>
      <c r="F96" s="410"/>
      <c r="G96" s="410"/>
      <c r="H96" s="410"/>
      <c r="I96" s="410"/>
      <c r="J96" s="410"/>
      <c r="K96" s="354">
        <v>1990000</v>
      </c>
      <c r="L96" s="10">
        <v>0</v>
      </c>
      <c r="M96" s="10">
        <v>0</v>
      </c>
      <c r="N96" s="175"/>
      <c r="O96" s="368">
        <f t="shared" si="0"/>
        <v>0</v>
      </c>
      <c r="P96" s="368">
        <f t="shared" si="1"/>
        <v>1990000</v>
      </c>
      <c r="Q96" s="368"/>
      <c r="R96" s="368"/>
      <c r="S96" s="368"/>
      <c r="T96" s="368"/>
      <c r="U96" s="345"/>
      <c r="V96" s="323"/>
    </row>
    <row r="97" spans="1:25" s="332" customFormat="1">
      <c r="A97" s="457"/>
      <c r="B97" s="350"/>
      <c r="C97" s="472" t="s">
        <v>439</v>
      </c>
      <c r="D97" s="473"/>
      <c r="E97" s="473"/>
      <c r="F97" s="473"/>
      <c r="G97" s="473"/>
      <c r="H97" s="473"/>
      <c r="I97" s="473"/>
      <c r="J97" s="473"/>
      <c r="K97" s="42">
        <v>200000</v>
      </c>
      <c r="L97" s="10">
        <v>0</v>
      </c>
      <c r="M97" s="10"/>
      <c r="N97" s="10"/>
      <c r="O97" s="28">
        <f t="shared" ref="O97" si="26">L97+N97</f>
        <v>0</v>
      </c>
      <c r="P97" s="28">
        <f t="shared" ref="P97" si="27">K97+O97</f>
        <v>200000</v>
      </c>
      <c r="Q97" s="28"/>
      <c r="R97" s="28"/>
      <c r="S97" s="28"/>
      <c r="T97" s="28"/>
      <c r="U97" s="313"/>
      <c r="V97" s="313"/>
    </row>
    <row r="98" spans="1:25" s="332" customFormat="1">
      <c r="A98" s="457"/>
      <c r="B98" s="347"/>
      <c r="C98" s="473" t="s">
        <v>806</v>
      </c>
      <c r="D98" s="473"/>
      <c r="E98" s="473"/>
      <c r="F98" s="473"/>
      <c r="G98" s="473"/>
      <c r="H98" s="473"/>
      <c r="I98" s="473"/>
      <c r="J98" s="473"/>
      <c r="K98" s="354"/>
      <c r="L98" s="10">
        <v>0</v>
      </c>
      <c r="M98" s="10"/>
      <c r="N98" s="10"/>
      <c r="O98" s="28">
        <f t="shared" si="0"/>
        <v>0</v>
      </c>
      <c r="P98" s="28">
        <f t="shared" si="1"/>
        <v>0</v>
      </c>
      <c r="Q98" s="28"/>
      <c r="R98" s="28"/>
      <c r="S98" s="28"/>
      <c r="T98" s="28"/>
      <c r="U98" s="313"/>
      <c r="V98" s="313"/>
    </row>
    <row r="99" spans="1:25" s="332" customFormat="1" ht="56.25">
      <c r="A99" s="469"/>
      <c r="B99" s="353" t="s">
        <v>496</v>
      </c>
      <c r="C99" s="475" t="s">
        <v>807</v>
      </c>
      <c r="D99" s="476"/>
      <c r="E99" s="476"/>
      <c r="F99" s="476"/>
      <c r="G99" s="476"/>
      <c r="H99" s="476"/>
      <c r="I99" s="476"/>
      <c r="J99" s="476"/>
      <c r="K99" s="354">
        <v>50000</v>
      </c>
      <c r="L99" s="10">
        <v>0</v>
      </c>
      <c r="M99" s="10"/>
      <c r="N99" s="10"/>
      <c r="O99" s="28">
        <f t="shared" si="0"/>
        <v>0</v>
      </c>
      <c r="P99" s="28">
        <f t="shared" si="1"/>
        <v>50000</v>
      </c>
      <c r="Q99" s="28"/>
      <c r="R99" s="28"/>
      <c r="S99" s="28"/>
      <c r="T99" s="355"/>
      <c r="U99" s="330"/>
      <c r="V99" s="313"/>
    </row>
    <row r="100" spans="1:25" s="332" customFormat="1" ht="56.25">
      <c r="A100" s="457"/>
      <c r="B100" s="366" t="s">
        <v>496</v>
      </c>
      <c r="C100" s="475" t="s">
        <v>808</v>
      </c>
      <c r="D100" s="477"/>
      <c r="E100" s="476"/>
      <c r="F100" s="476"/>
      <c r="G100" s="476"/>
      <c r="H100" s="476"/>
      <c r="I100" s="476"/>
      <c r="J100" s="476"/>
      <c r="K100" s="354">
        <v>200000</v>
      </c>
      <c r="L100" s="10">
        <v>0</v>
      </c>
      <c r="M100" s="10"/>
      <c r="N100" s="10"/>
      <c r="O100" s="28">
        <f t="shared" si="0"/>
        <v>0</v>
      </c>
      <c r="P100" s="28">
        <f t="shared" si="1"/>
        <v>200000</v>
      </c>
      <c r="Q100" s="28"/>
      <c r="R100" s="355"/>
      <c r="S100" s="355"/>
      <c r="T100" s="355"/>
      <c r="U100" s="330"/>
      <c r="V100" s="313"/>
    </row>
    <row r="101" spans="1:25" s="373" customFormat="1" ht="37.5">
      <c r="A101" s="389"/>
      <c r="B101" s="353" t="s">
        <v>496</v>
      </c>
      <c r="C101" s="475" t="s">
        <v>346</v>
      </c>
      <c r="D101" s="410"/>
      <c r="E101" s="410"/>
      <c r="F101" s="410"/>
      <c r="G101" s="410"/>
      <c r="H101" s="410"/>
      <c r="I101" s="410"/>
      <c r="J101" s="410"/>
      <c r="K101" s="354">
        <v>319300</v>
      </c>
      <c r="L101" s="175">
        <v>0</v>
      </c>
      <c r="M101" s="175"/>
      <c r="N101" s="175"/>
      <c r="O101" s="368">
        <f t="shared" si="0"/>
        <v>0</v>
      </c>
      <c r="P101" s="368">
        <f t="shared" si="1"/>
        <v>319300</v>
      </c>
      <c r="Q101" s="368"/>
      <c r="R101" s="368"/>
      <c r="S101" s="368"/>
      <c r="T101" s="368"/>
      <c r="U101" s="323"/>
      <c r="V101" s="323"/>
    </row>
    <row r="102" spans="1:25" s="373" customFormat="1" ht="93.75">
      <c r="A102" s="411"/>
      <c r="B102" s="409"/>
      <c r="C102" s="475" t="s">
        <v>809</v>
      </c>
      <c r="D102" s="412"/>
      <c r="E102" s="412"/>
      <c r="F102" s="412"/>
      <c r="G102" s="412"/>
      <c r="H102" s="412"/>
      <c r="I102" s="412"/>
      <c r="J102" s="412"/>
      <c r="K102" s="413"/>
      <c r="L102" s="175"/>
      <c r="M102" s="175"/>
      <c r="N102" s="175"/>
      <c r="O102" s="368">
        <f t="shared" si="0"/>
        <v>0</v>
      </c>
      <c r="P102" s="368">
        <f t="shared" si="1"/>
        <v>0</v>
      </c>
      <c r="Q102" s="368"/>
      <c r="R102" s="368"/>
      <c r="S102" s="368"/>
      <c r="T102" s="368"/>
      <c r="U102" s="345"/>
      <c r="V102" s="323"/>
    </row>
    <row r="103" spans="1:25" s="400" customFormat="1" ht="221.25" customHeight="1">
      <c r="A103" s="346">
        <v>3.1</v>
      </c>
      <c r="B103" s="409" t="s">
        <v>47</v>
      </c>
      <c r="C103" s="351" t="s">
        <v>810</v>
      </c>
      <c r="D103" s="319" t="s">
        <v>501</v>
      </c>
      <c r="E103" s="415" t="s">
        <v>502</v>
      </c>
      <c r="F103" s="415" t="s">
        <v>503</v>
      </c>
      <c r="G103" s="415" t="s">
        <v>504</v>
      </c>
      <c r="H103" s="415" t="s">
        <v>505</v>
      </c>
      <c r="I103" s="415" t="s">
        <v>500</v>
      </c>
      <c r="J103" s="414"/>
      <c r="K103" s="349">
        <v>100000</v>
      </c>
      <c r="L103" s="23">
        <v>0</v>
      </c>
      <c r="M103" s="23"/>
      <c r="N103" s="23"/>
      <c r="O103" s="13">
        <f>L103+N103</f>
        <v>0</v>
      </c>
      <c r="P103" s="13">
        <f>K103+O103</f>
        <v>100000</v>
      </c>
      <c r="Q103" s="13"/>
      <c r="R103" s="13"/>
      <c r="S103" s="13"/>
      <c r="T103" s="13"/>
      <c r="U103" s="16"/>
      <c r="V103" s="317"/>
      <c r="W103" s="318"/>
    </row>
    <row r="104" spans="1:25" s="400" customFormat="1" ht="180" customHeight="1">
      <c r="A104" s="346">
        <v>3.2</v>
      </c>
      <c r="B104" s="409" t="s">
        <v>496</v>
      </c>
      <c r="C104" s="351" t="s">
        <v>811</v>
      </c>
      <c r="D104" s="358" t="s">
        <v>445</v>
      </c>
      <c r="E104" s="358" t="s">
        <v>445</v>
      </c>
      <c r="F104" s="358" t="s">
        <v>445</v>
      </c>
      <c r="G104" s="358" t="s">
        <v>445</v>
      </c>
      <c r="H104" s="358" t="s">
        <v>445</v>
      </c>
      <c r="I104" s="358" t="s">
        <v>445</v>
      </c>
      <c r="J104" s="358" t="s">
        <v>445</v>
      </c>
      <c r="K104" s="23">
        <v>120000</v>
      </c>
      <c r="L104" s="23">
        <v>0</v>
      </c>
      <c r="M104" s="23">
        <v>0</v>
      </c>
      <c r="N104" s="23"/>
      <c r="O104" s="13"/>
      <c r="P104" s="13"/>
      <c r="Q104" s="13"/>
      <c r="R104" s="13"/>
      <c r="S104" s="13"/>
      <c r="T104" s="13"/>
      <c r="U104" s="16"/>
      <c r="V104" s="317"/>
      <c r="W104" s="318"/>
    </row>
    <row r="105" spans="1:25" s="400" customFormat="1" ht="80.25" customHeight="1">
      <c r="A105" s="346">
        <v>3.3</v>
      </c>
      <c r="B105" s="350" t="s">
        <v>14</v>
      </c>
      <c r="C105" s="351" t="s">
        <v>813</v>
      </c>
      <c r="D105" s="416" t="s">
        <v>506</v>
      </c>
      <c r="E105" s="398" t="s">
        <v>507</v>
      </c>
      <c r="F105" s="398" t="s">
        <v>508</v>
      </c>
      <c r="G105" s="398" t="s">
        <v>509</v>
      </c>
      <c r="H105" s="398" t="s">
        <v>461</v>
      </c>
      <c r="I105" s="398" t="s">
        <v>510</v>
      </c>
      <c r="J105" s="374" t="s">
        <v>511</v>
      </c>
      <c r="K105" s="349">
        <v>100000</v>
      </c>
      <c r="L105" s="23">
        <v>0</v>
      </c>
      <c r="M105" s="23"/>
      <c r="N105" s="23"/>
      <c r="O105" s="13">
        <f t="shared" ref="O105:O111" si="28">L105+N105</f>
        <v>0</v>
      </c>
      <c r="P105" s="13">
        <f t="shared" ref="P105:P115" si="29">K105+O105</f>
        <v>100000</v>
      </c>
      <c r="Q105" s="13"/>
      <c r="R105" s="313"/>
      <c r="S105" s="313"/>
      <c r="T105" s="355"/>
      <c r="U105" s="356"/>
      <c r="V105" s="330"/>
    </row>
    <row r="106" spans="1:25" s="373" customFormat="1" ht="345">
      <c r="A106" s="352">
        <v>3.4</v>
      </c>
      <c r="B106" s="353" t="s">
        <v>496</v>
      </c>
      <c r="C106" s="348" t="s">
        <v>814</v>
      </c>
      <c r="D106" s="417" t="s">
        <v>512</v>
      </c>
      <c r="E106" s="417" t="s">
        <v>513</v>
      </c>
      <c r="F106" s="417" t="s">
        <v>514</v>
      </c>
      <c r="G106" s="417" t="s">
        <v>515</v>
      </c>
      <c r="H106" s="417" t="s">
        <v>515</v>
      </c>
      <c r="I106" s="357" t="s">
        <v>516</v>
      </c>
      <c r="J106" s="358" t="s">
        <v>445</v>
      </c>
      <c r="K106" s="354">
        <v>50000</v>
      </c>
      <c r="L106" s="10">
        <v>0</v>
      </c>
      <c r="M106" s="10"/>
      <c r="N106" s="10">
        <v>0</v>
      </c>
      <c r="O106" s="28">
        <f t="shared" si="28"/>
        <v>0</v>
      </c>
      <c r="P106" s="28">
        <f t="shared" si="29"/>
        <v>50000</v>
      </c>
      <c r="Q106" s="28"/>
      <c r="R106" s="28"/>
      <c r="S106" s="28"/>
      <c r="T106" s="355"/>
      <c r="U106" s="330"/>
      <c r="V106" s="313"/>
    </row>
    <row r="107" spans="1:25" s="373" customFormat="1" ht="356.25">
      <c r="A107" s="478">
        <v>3.5</v>
      </c>
      <c r="B107" s="353" t="s">
        <v>496</v>
      </c>
      <c r="C107" s="348" t="s">
        <v>812</v>
      </c>
      <c r="D107" s="409" t="s">
        <v>512</v>
      </c>
      <c r="E107" s="417" t="s">
        <v>517</v>
      </c>
      <c r="F107" s="409" t="s">
        <v>518</v>
      </c>
      <c r="G107" s="409" t="s">
        <v>519</v>
      </c>
      <c r="H107" s="409" t="s">
        <v>519</v>
      </c>
      <c r="I107" s="409" t="s">
        <v>520</v>
      </c>
      <c r="J107" s="409" t="s">
        <v>511</v>
      </c>
      <c r="K107" s="354">
        <v>90000</v>
      </c>
      <c r="L107" s="10">
        <v>0</v>
      </c>
      <c r="M107" s="10"/>
      <c r="N107" s="10"/>
      <c r="O107" s="28">
        <f t="shared" si="28"/>
        <v>0</v>
      </c>
      <c r="P107" s="28">
        <f t="shared" si="29"/>
        <v>90000</v>
      </c>
      <c r="Q107" s="28"/>
      <c r="R107" s="28"/>
      <c r="S107" s="28"/>
      <c r="T107" s="28"/>
      <c r="U107" s="330"/>
      <c r="V107" s="313"/>
      <c r="W107" s="332"/>
      <c r="X107" s="332"/>
    </row>
    <row r="108" spans="1:25" s="373" customFormat="1" ht="51.75">
      <c r="A108" s="478">
        <v>3.6</v>
      </c>
      <c r="B108" s="353" t="s">
        <v>63</v>
      </c>
      <c r="C108" s="348" t="s">
        <v>815</v>
      </c>
      <c r="D108" s="409"/>
      <c r="E108" s="417"/>
      <c r="F108" s="409"/>
      <c r="G108" s="409"/>
      <c r="H108" s="409"/>
      <c r="I108" s="409"/>
      <c r="J108" s="479"/>
      <c r="K108" s="354">
        <v>50000</v>
      </c>
      <c r="L108" s="10">
        <v>0</v>
      </c>
      <c r="M108" s="10">
        <v>0</v>
      </c>
      <c r="N108" s="10">
        <v>0</v>
      </c>
      <c r="O108" s="28">
        <f t="shared" si="28"/>
        <v>0</v>
      </c>
      <c r="P108" s="28">
        <f t="shared" si="29"/>
        <v>50000</v>
      </c>
      <c r="Q108" s="28"/>
      <c r="R108" s="28"/>
      <c r="S108" s="28"/>
      <c r="T108" s="28"/>
      <c r="U108" s="330"/>
      <c r="V108" s="313"/>
      <c r="W108" s="332"/>
      <c r="X108" s="332"/>
    </row>
    <row r="109" spans="1:25" s="373" customFormat="1" ht="90" customHeight="1">
      <c r="A109" s="478">
        <v>3.7</v>
      </c>
      <c r="B109" s="353" t="s">
        <v>63</v>
      </c>
      <c r="C109" s="348" t="s">
        <v>816</v>
      </c>
      <c r="D109" s="418" t="s">
        <v>521</v>
      </c>
      <c r="E109" s="418" t="s">
        <v>522</v>
      </c>
      <c r="F109" s="418" t="s">
        <v>523</v>
      </c>
      <c r="G109" s="418" t="s">
        <v>524</v>
      </c>
      <c r="H109" s="418" t="s">
        <v>525</v>
      </c>
      <c r="I109" s="358" t="s">
        <v>445</v>
      </c>
      <c r="J109" s="358" t="s">
        <v>445</v>
      </c>
      <c r="K109" s="354">
        <v>30000</v>
      </c>
      <c r="L109" s="10">
        <v>0</v>
      </c>
      <c r="M109" s="10">
        <v>0</v>
      </c>
      <c r="N109" s="10">
        <v>0</v>
      </c>
      <c r="O109" s="28">
        <f t="shared" si="28"/>
        <v>0</v>
      </c>
      <c r="P109" s="28">
        <f t="shared" si="29"/>
        <v>30000</v>
      </c>
      <c r="Q109" s="28"/>
      <c r="R109" s="28"/>
      <c r="S109" s="28"/>
      <c r="T109" s="355"/>
      <c r="U109" s="359"/>
      <c r="V109" s="313"/>
      <c r="W109" s="332"/>
      <c r="X109" s="332"/>
    </row>
    <row r="110" spans="1:25" s="373" customFormat="1" ht="409.5">
      <c r="A110" s="346">
        <v>3.8</v>
      </c>
      <c r="B110" s="353" t="s">
        <v>496</v>
      </c>
      <c r="C110" s="348" t="s">
        <v>817</v>
      </c>
      <c r="D110" s="409" t="s">
        <v>526</v>
      </c>
      <c r="E110" s="419" t="s">
        <v>527</v>
      </c>
      <c r="F110" s="417" t="s">
        <v>528</v>
      </c>
      <c r="G110" s="409" t="s">
        <v>529</v>
      </c>
      <c r="H110" s="409" t="s">
        <v>530</v>
      </c>
      <c r="I110" s="409" t="s">
        <v>531</v>
      </c>
      <c r="J110" s="417" t="s">
        <v>532</v>
      </c>
      <c r="K110" s="354">
        <v>80000</v>
      </c>
      <c r="L110" s="10">
        <v>0</v>
      </c>
      <c r="M110" s="10"/>
      <c r="N110" s="10"/>
      <c r="O110" s="28">
        <f t="shared" si="28"/>
        <v>0</v>
      </c>
      <c r="P110" s="28">
        <f t="shared" si="29"/>
        <v>80000</v>
      </c>
      <c r="Q110" s="28"/>
      <c r="R110" s="28"/>
      <c r="S110" s="28"/>
      <c r="T110" s="355"/>
      <c r="U110" s="330"/>
      <c r="V110" s="313"/>
      <c r="W110" s="332"/>
      <c r="X110" s="332"/>
      <c r="Y110" s="332"/>
    </row>
    <row r="111" spans="1:25" s="373" customFormat="1" ht="409.5">
      <c r="A111" s="346">
        <v>3.9</v>
      </c>
      <c r="B111" s="353" t="s">
        <v>496</v>
      </c>
      <c r="C111" s="348" t="s">
        <v>818</v>
      </c>
      <c r="D111" s="360" t="s">
        <v>526</v>
      </c>
      <c r="E111" s="409" t="s">
        <v>1020</v>
      </c>
      <c r="F111" s="409" t="s">
        <v>528</v>
      </c>
      <c r="G111" s="409" t="s">
        <v>529</v>
      </c>
      <c r="H111" s="409" t="s">
        <v>530</v>
      </c>
      <c r="I111" s="409" t="s">
        <v>531</v>
      </c>
      <c r="J111" s="417" t="s">
        <v>532</v>
      </c>
      <c r="K111" s="354">
        <v>150000</v>
      </c>
      <c r="L111" s="10">
        <v>0</v>
      </c>
      <c r="M111" s="10"/>
      <c r="N111" s="10"/>
      <c r="O111" s="28">
        <f t="shared" si="28"/>
        <v>0</v>
      </c>
      <c r="P111" s="28">
        <f t="shared" si="29"/>
        <v>150000</v>
      </c>
      <c r="Q111" s="28"/>
      <c r="R111" s="28"/>
      <c r="S111" s="28"/>
      <c r="T111" s="28"/>
      <c r="U111" s="330"/>
      <c r="V111" s="313"/>
      <c r="W111" s="332"/>
    </row>
    <row r="112" spans="1:25" s="373" customFormat="1" ht="149.25" customHeight="1">
      <c r="A112" s="664">
        <v>3.1</v>
      </c>
      <c r="B112" s="353" t="s">
        <v>496</v>
      </c>
      <c r="C112" s="348" t="s">
        <v>819</v>
      </c>
      <c r="D112" s="409" t="s">
        <v>533</v>
      </c>
      <c r="E112" s="419" t="s">
        <v>534</v>
      </c>
      <c r="F112" s="409" t="s">
        <v>535</v>
      </c>
      <c r="G112" s="409" t="s">
        <v>536</v>
      </c>
      <c r="H112" s="409" t="s">
        <v>537</v>
      </c>
      <c r="I112" s="409" t="s">
        <v>531</v>
      </c>
      <c r="J112" s="417" t="s">
        <v>538</v>
      </c>
      <c r="K112" s="480">
        <v>100000</v>
      </c>
      <c r="L112" s="10">
        <v>0</v>
      </c>
      <c r="M112" s="10">
        <v>0</v>
      </c>
      <c r="N112" s="28">
        <v>0</v>
      </c>
      <c r="O112" s="28">
        <f>L112+M112+N112</f>
        <v>0</v>
      </c>
      <c r="P112" s="28">
        <f t="shared" si="29"/>
        <v>100000</v>
      </c>
      <c r="Q112" s="28"/>
      <c r="R112" s="28"/>
      <c r="S112" s="28"/>
      <c r="T112" s="28"/>
      <c r="U112" s="330"/>
      <c r="V112" s="313"/>
    </row>
    <row r="113" spans="1:25" s="373" customFormat="1" ht="103.5">
      <c r="A113" s="346">
        <v>3.11</v>
      </c>
      <c r="B113" s="353" t="s">
        <v>496</v>
      </c>
      <c r="C113" s="481" t="s">
        <v>820</v>
      </c>
      <c r="D113" s="358" t="s">
        <v>445</v>
      </c>
      <c r="E113" s="358" t="s">
        <v>445</v>
      </c>
      <c r="F113" s="358" t="s">
        <v>445</v>
      </c>
      <c r="G113" s="358" t="s">
        <v>445</v>
      </c>
      <c r="H113" s="358" t="s">
        <v>445</v>
      </c>
      <c r="I113" s="358" t="s">
        <v>445</v>
      </c>
      <c r="J113" s="358" t="s">
        <v>445</v>
      </c>
      <c r="K113" s="480">
        <v>150000</v>
      </c>
      <c r="L113" s="10">
        <v>0</v>
      </c>
      <c r="M113" s="10">
        <v>0</v>
      </c>
      <c r="N113" s="28">
        <v>0</v>
      </c>
      <c r="O113" s="28">
        <f>L113+M113+N113</f>
        <v>0</v>
      </c>
      <c r="P113" s="28">
        <f t="shared" si="29"/>
        <v>150000</v>
      </c>
      <c r="Q113" s="28"/>
      <c r="R113" s="28"/>
      <c r="S113" s="28"/>
      <c r="T113" s="28"/>
      <c r="U113" s="330"/>
      <c r="V113" s="313"/>
    </row>
    <row r="114" spans="1:25" s="373" customFormat="1" ht="86.25">
      <c r="A114" s="346">
        <v>3.12</v>
      </c>
      <c r="B114" s="353" t="s">
        <v>63</v>
      </c>
      <c r="C114" s="348" t="s">
        <v>1021</v>
      </c>
      <c r="D114" s="358" t="s">
        <v>445</v>
      </c>
      <c r="E114" s="358" t="s">
        <v>445</v>
      </c>
      <c r="F114" s="358" t="s">
        <v>445</v>
      </c>
      <c r="G114" s="358" t="s">
        <v>445</v>
      </c>
      <c r="H114" s="358" t="s">
        <v>445</v>
      </c>
      <c r="I114" s="358" t="s">
        <v>445</v>
      </c>
      <c r="J114" s="358" t="s">
        <v>445</v>
      </c>
      <c r="K114" s="354">
        <v>80000</v>
      </c>
      <c r="L114" s="10">
        <v>0</v>
      </c>
      <c r="M114" s="10">
        <v>0</v>
      </c>
      <c r="N114" s="10">
        <v>0</v>
      </c>
      <c r="O114" s="28">
        <f>L114+N114</f>
        <v>0</v>
      </c>
      <c r="P114" s="28">
        <f t="shared" si="29"/>
        <v>80000</v>
      </c>
      <c r="Q114" s="28"/>
      <c r="R114" s="28"/>
      <c r="S114" s="28"/>
      <c r="T114" s="28"/>
      <c r="U114" s="330"/>
      <c r="V114" s="313"/>
    </row>
    <row r="115" spans="1:25" s="373" customFormat="1" ht="69">
      <c r="A115" s="346">
        <v>3.13</v>
      </c>
      <c r="B115" s="353" t="s">
        <v>63</v>
      </c>
      <c r="C115" s="348" t="s">
        <v>1022</v>
      </c>
      <c r="D115" s="358" t="s">
        <v>445</v>
      </c>
      <c r="E115" s="358" t="s">
        <v>445</v>
      </c>
      <c r="F115" s="358" t="s">
        <v>445</v>
      </c>
      <c r="G115" s="358" t="s">
        <v>445</v>
      </c>
      <c r="H115" s="358" t="s">
        <v>445</v>
      </c>
      <c r="I115" s="358" t="s">
        <v>445</v>
      </c>
      <c r="J115" s="358" t="s">
        <v>445</v>
      </c>
      <c r="K115" s="354">
        <v>5000</v>
      </c>
      <c r="L115" s="10">
        <v>0</v>
      </c>
      <c r="M115" s="10">
        <v>0</v>
      </c>
      <c r="N115" s="10">
        <v>0</v>
      </c>
      <c r="O115" s="28">
        <f>L115+N115</f>
        <v>0</v>
      </c>
      <c r="P115" s="28">
        <f t="shared" si="29"/>
        <v>5000</v>
      </c>
      <c r="Q115" s="28"/>
      <c r="R115" s="28"/>
      <c r="S115" s="28"/>
      <c r="T115" s="28"/>
      <c r="U115" s="330"/>
      <c r="V115" s="313"/>
    </row>
    <row r="116" spans="1:25" s="400" customFormat="1" ht="95.25" customHeight="1">
      <c r="A116" s="346">
        <v>3.14</v>
      </c>
      <c r="B116" s="353" t="s">
        <v>47</v>
      </c>
      <c r="C116" s="348" t="s">
        <v>1023</v>
      </c>
      <c r="D116" s="358" t="s">
        <v>445</v>
      </c>
      <c r="E116" s="358" t="s">
        <v>445</v>
      </c>
      <c r="F116" s="358" t="s">
        <v>445</v>
      </c>
      <c r="G116" s="358" t="s">
        <v>445</v>
      </c>
      <c r="H116" s="358" t="s">
        <v>445</v>
      </c>
      <c r="I116" s="358" t="s">
        <v>445</v>
      </c>
      <c r="J116" s="358" t="s">
        <v>445</v>
      </c>
      <c r="K116" s="349">
        <v>230000</v>
      </c>
      <c r="L116" s="23">
        <v>0</v>
      </c>
      <c r="M116" s="23"/>
      <c r="N116" s="23"/>
      <c r="O116" s="13">
        <f t="shared" si="0"/>
        <v>0</v>
      </c>
      <c r="P116" s="13">
        <f t="shared" si="1"/>
        <v>230000</v>
      </c>
      <c r="Q116" s="13"/>
      <c r="R116" s="28"/>
      <c r="S116" s="28"/>
      <c r="T116" s="28"/>
      <c r="U116" s="16"/>
      <c r="V116" s="317"/>
      <c r="W116" s="318"/>
      <c r="X116" s="318"/>
      <c r="Y116" s="318"/>
    </row>
    <row r="117" spans="1:25" s="373" customFormat="1" ht="78" customHeight="1">
      <c r="A117" s="346">
        <v>3.15</v>
      </c>
      <c r="B117" s="353" t="s">
        <v>667</v>
      </c>
      <c r="C117" s="348" t="s">
        <v>1024</v>
      </c>
      <c r="D117" s="358" t="s">
        <v>445</v>
      </c>
      <c r="E117" s="358" t="s">
        <v>445</v>
      </c>
      <c r="F117" s="358" t="s">
        <v>445</v>
      </c>
      <c r="G117" s="358" t="s">
        <v>445</v>
      </c>
      <c r="H117" s="358" t="s">
        <v>445</v>
      </c>
      <c r="I117" s="358" t="s">
        <v>445</v>
      </c>
      <c r="J117" s="414"/>
      <c r="K117" s="354">
        <v>11000</v>
      </c>
      <c r="L117" s="10">
        <v>0</v>
      </c>
      <c r="M117" s="10"/>
      <c r="N117" s="10"/>
      <c r="O117" s="28">
        <f t="shared" ref="O117" si="30">L117+N117</f>
        <v>0</v>
      </c>
      <c r="P117" s="28">
        <f t="shared" ref="P117" si="31">K117+O117</f>
        <v>11000</v>
      </c>
      <c r="Q117" s="28"/>
      <c r="R117" s="28"/>
      <c r="S117" s="28"/>
      <c r="T117" s="28"/>
      <c r="U117" s="16"/>
      <c r="V117" s="313"/>
    </row>
    <row r="118" spans="1:25" s="373" customFormat="1" ht="198.75" customHeight="1">
      <c r="A118" s="346">
        <v>3.16</v>
      </c>
      <c r="B118" s="353" t="s">
        <v>667</v>
      </c>
      <c r="C118" s="348" t="s">
        <v>821</v>
      </c>
      <c r="D118" s="402" t="s">
        <v>69</v>
      </c>
      <c r="E118" s="402" t="s">
        <v>684</v>
      </c>
      <c r="F118" s="402" t="s">
        <v>70</v>
      </c>
      <c r="G118" s="402" t="s">
        <v>685</v>
      </c>
      <c r="H118" s="402" t="s">
        <v>686</v>
      </c>
      <c r="I118" s="402" t="s">
        <v>687</v>
      </c>
      <c r="J118" s="374" t="s">
        <v>688</v>
      </c>
      <c r="K118" s="354">
        <v>100000</v>
      </c>
      <c r="L118" s="10">
        <v>0</v>
      </c>
      <c r="M118" s="10"/>
      <c r="N118" s="10"/>
      <c r="O118" s="28">
        <f t="shared" si="0"/>
        <v>0</v>
      </c>
      <c r="P118" s="28">
        <f t="shared" si="1"/>
        <v>100000</v>
      </c>
      <c r="Q118" s="28"/>
      <c r="R118" s="28"/>
      <c r="S118" s="28"/>
      <c r="T118" s="28"/>
      <c r="U118" s="16"/>
      <c r="V118" s="313"/>
    </row>
    <row r="119" spans="1:25" s="324" customFormat="1" ht="169.5" customHeight="1">
      <c r="A119" s="352">
        <v>3.17</v>
      </c>
      <c r="B119" s="353" t="s">
        <v>822</v>
      </c>
      <c r="C119" s="348" t="s">
        <v>823</v>
      </c>
      <c r="D119" s="319" t="s">
        <v>452</v>
      </c>
      <c r="E119" s="319" t="s">
        <v>453</v>
      </c>
      <c r="F119" s="320" t="s">
        <v>4</v>
      </c>
      <c r="G119" s="319" t="s">
        <v>454</v>
      </c>
      <c r="H119" s="321" t="s">
        <v>455</v>
      </c>
      <c r="I119" s="322" t="s">
        <v>456</v>
      </c>
      <c r="J119" s="320"/>
      <c r="K119" s="162">
        <v>56000</v>
      </c>
      <c r="L119" s="482"/>
      <c r="M119" s="482"/>
      <c r="N119" s="110">
        <v>0</v>
      </c>
      <c r="O119" s="127">
        <f t="shared" si="0"/>
        <v>0</v>
      </c>
      <c r="P119" s="127">
        <f t="shared" si="1"/>
        <v>56000</v>
      </c>
      <c r="Q119" s="127">
        <v>0</v>
      </c>
      <c r="R119" s="127">
        <v>0</v>
      </c>
      <c r="S119" s="127">
        <v>0</v>
      </c>
      <c r="T119" s="127">
        <v>0</v>
      </c>
      <c r="U119" s="369" t="s">
        <v>18</v>
      </c>
      <c r="V119" s="313" t="s">
        <v>18</v>
      </c>
    </row>
    <row r="120" spans="1:25" s="373" customFormat="1" ht="219" customHeight="1">
      <c r="A120" s="361">
        <v>4</v>
      </c>
      <c r="B120" s="362" t="s">
        <v>97</v>
      </c>
      <c r="C120" s="500" t="s">
        <v>1025</v>
      </c>
      <c r="D120" s="401" t="s">
        <v>824</v>
      </c>
      <c r="E120" s="401" t="s">
        <v>539</v>
      </c>
      <c r="F120" s="401" t="s">
        <v>540</v>
      </c>
      <c r="G120" s="420">
        <v>80</v>
      </c>
      <c r="H120" s="401" t="s">
        <v>461</v>
      </c>
      <c r="I120" s="401" t="s">
        <v>433</v>
      </c>
      <c r="J120" s="401" t="s">
        <v>541</v>
      </c>
      <c r="K120" s="10">
        <v>320000</v>
      </c>
      <c r="L120" s="10">
        <v>0</v>
      </c>
      <c r="M120" s="10"/>
      <c r="N120" s="10">
        <v>0</v>
      </c>
      <c r="O120" s="28">
        <f t="shared" si="0"/>
        <v>0</v>
      </c>
      <c r="P120" s="10">
        <f t="shared" si="1"/>
        <v>320000</v>
      </c>
      <c r="Q120" s="10"/>
      <c r="R120" s="10"/>
      <c r="S120" s="10"/>
      <c r="T120" s="10"/>
      <c r="U120" s="326"/>
      <c r="V120" s="363"/>
      <c r="W120" s="332"/>
    </row>
    <row r="121" spans="1:25" s="373" customFormat="1" ht="113.25" customHeight="1">
      <c r="A121" s="361">
        <v>5</v>
      </c>
      <c r="B121" s="362" t="s">
        <v>16</v>
      </c>
      <c r="C121" s="364" t="s">
        <v>825</v>
      </c>
      <c r="D121" s="374" t="s">
        <v>542</v>
      </c>
      <c r="E121" s="374" t="s">
        <v>543</v>
      </c>
      <c r="F121" s="374" t="s">
        <v>544</v>
      </c>
      <c r="G121" s="421">
        <v>80</v>
      </c>
      <c r="H121" s="374" t="s">
        <v>461</v>
      </c>
      <c r="I121" s="374" t="s">
        <v>433</v>
      </c>
      <c r="J121" s="401" t="s">
        <v>545</v>
      </c>
      <c r="K121" s="175">
        <f>SUM(K122:K123)</f>
        <v>791200</v>
      </c>
      <c r="L121" s="175">
        <f>SUM(L122:L123)</f>
        <v>0</v>
      </c>
      <c r="M121" s="175">
        <f>SUM(M122:M123)</f>
        <v>0</v>
      </c>
      <c r="N121" s="175">
        <v>0</v>
      </c>
      <c r="O121" s="175">
        <f>SUM(L121:N121)</f>
        <v>0</v>
      </c>
      <c r="P121" s="175">
        <f t="shared" ref="P121:P140" si="32">K121+O121</f>
        <v>791200</v>
      </c>
      <c r="Q121" s="175"/>
      <c r="R121" s="175"/>
      <c r="S121" s="175"/>
      <c r="T121" s="175"/>
      <c r="U121" s="374"/>
      <c r="V121" s="372"/>
    </row>
    <row r="122" spans="1:25" s="332" customFormat="1">
      <c r="A122" s="483"/>
      <c r="B122" s="484"/>
      <c r="C122" s="485" t="s">
        <v>826</v>
      </c>
      <c r="D122" s="486"/>
      <c r="E122" s="486"/>
      <c r="F122" s="486"/>
      <c r="G122" s="487"/>
      <c r="H122" s="486"/>
      <c r="I122" s="486"/>
      <c r="J122" s="488"/>
      <c r="K122" s="10">
        <v>691200</v>
      </c>
      <c r="L122" s="10">
        <v>0</v>
      </c>
      <c r="M122" s="10">
        <v>0</v>
      </c>
      <c r="N122" s="10">
        <v>0</v>
      </c>
      <c r="O122" s="175">
        <f t="shared" ref="O122:O123" si="33">SUM(L122:N122)</f>
        <v>0</v>
      </c>
      <c r="P122" s="10"/>
      <c r="Q122" s="10"/>
      <c r="R122" s="10"/>
      <c r="S122" s="10"/>
      <c r="T122" s="10"/>
      <c r="U122" s="312"/>
      <c r="V122" s="363"/>
    </row>
    <row r="123" spans="1:25" s="332" customFormat="1">
      <c r="A123" s="483"/>
      <c r="B123" s="484"/>
      <c r="C123" s="485" t="s">
        <v>827</v>
      </c>
      <c r="D123" s="486"/>
      <c r="E123" s="486"/>
      <c r="F123" s="486"/>
      <c r="G123" s="487"/>
      <c r="H123" s="486"/>
      <c r="I123" s="486"/>
      <c r="J123" s="488"/>
      <c r="K123" s="10">
        <v>100000</v>
      </c>
      <c r="L123" s="10"/>
      <c r="M123" s="10"/>
      <c r="N123" s="10"/>
      <c r="O123" s="175">
        <f t="shared" si="33"/>
        <v>0</v>
      </c>
      <c r="P123" s="10"/>
      <c r="Q123" s="10"/>
      <c r="R123" s="10"/>
      <c r="S123" s="10"/>
      <c r="T123" s="10"/>
      <c r="U123" s="312"/>
      <c r="V123" s="363"/>
    </row>
    <row r="124" spans="1:25" s="373" customFormat="1" ht="63">
      <c r="A124" s="483">
        <v>6</v>
      </c>
      <c r="B124" s="484" t="s">
        <v>78</v>
      </c>
      <c r="C124" s="364" t="s">
        <v>546</v>
      </c>
      <c r="D124" s="422"/>
      <c r="E124" s="422"/>
      <c r="F124" s="422"/>
      <c r="G124" s="422"/>
      <c r="H124" s="422"/>
      <c r="I124" s="422"/>
      <c r="J124" s="422"/>
      <c r="K124" s="175" t="e">
        <f>K125+#REF!</f>
        <v>#REF!</v>
      </c>
      <c r="L124" s="175" t="e">
        <f>L125+#REF!</f>
        <v>#REF!</v>
      </c>
      <c r="M124" s="175">
        <v>0</v>
      </c>
      <c r="N124" s="175">
        <v>0</v>
      </c>
      <c r="O124" s="368" t="e">
        <f>L124+M124+N124</f>
        <v>#REF!</v>
      </c>
      <c r="P124" s="175" t="e">
        <f t="shared" si="32"/>
        <v>#REF!</v>
      </c>
      <c r="Q124" s="175"/>
      <c r="R124" s="175"/>
      <c r="S124" s="175"/>
      <c r="T124" s="175"/>
      <c r="U124" s="372"/>
      <c r="V124" s="372"/>
    </row>
    <row r="125" spans="1:25" s="373" customFormat="1" ht="47.25" customHeight="1">
      <c r="A125" s="457"/>
      <c r="B125" s="489" t="s">
        <v>78</v>
      </c>
      <c r="C125" s="364" t="s">
        <v>1008</v>
      </c>
      <c r="D125" s="358" t="s">
        <v>445</v>
      </c>
      <c r="E125" s="358" t="s">
        <v>445</v>
      </c>
      <c r="F125" s="358" t="s">
        <v>445</v>
      </c>
      <c r="G125" s="358" t="s">
        <v>445</v>
      </c>
      <c r="H125" s="358" t="s">
        <v>445</v>
      </c>
      <c r="I125" s="358" t="s">
        <v>445</v>
      </c>
      <c r="J125" s="358" t="s">
        <v>445</v>
      </c>
      <c r="K125" s="175">
        <f>SUM(K126:K140)</f>
        <v>0</v>
      </c>
      <c r="L125" s="175">
        <f>SUM(L126:L140)</f>
        <v>0</v>
      </c>
      <c r="M125" s="175">
        <v>0</v>
      </c>
      <c r="N125" s="175">
        <v>0</v>
      </c>
      <c r="O125" s="368">
        <f>L125+M125+N125</f>
        <v>0</v>
      </c>
      <c r="P125" s="368">
        <f t="shared" si="32"/>
        <v>0</v>
      </c>
      <c r="Q125" s="368"/>
      <c r="R125" s="368"/>
      <c r="S125" s="368"/>
      <c r="T125" s="368"/>
      <c r="U125" s="345"/>
      <c r="V125" s="323"/>
    </row>
    <row r="126" spans="1:25" s="373" customFormat="1">
      <c r="A126" s="457"/>
      <c r="B126" s="489" t="s">
        <v>78</v>
      </c>
      <c r="C126" s="492" t="s">
        <v>828</v>
      </c>
      <c r="D126" s="424"/>
      <c r="E126" s="424"/>
      <c r="F126" s="424"/>
      <c r="G126" s="424"/>
      <c r="H126" s="424"/>
      <c r="I126" s="424"/>
      <c r="J126" s="424"/>
      <c r="K126" s="10">
        <v>0</v>
      </c>
      <c r="L126" s="10">
        <v>0</v>
      </c>
      <c r="M126" s="10">
        <v>226200</v>
      </c>
      <c r="N126" s="10">
        <v>0</v>
      </c>
      <c r="O126" s="28">
        <f>L126+M126+N126</f>
        <v>226200</v>
      </c>
      <c r="P126" s="28">
        <f t="shared" si="32"/>
        <v>226200</v>
      </c>
      <c r="Q126" s="28"/>
      <c r="R126" s="28"/>
      <c r="S126" s="28"/>
      <c r="T126" s="10"/>
      <c r="U126" s="313"/>
      <c r="V126" s="313"/>
      <c r="W126" s="332"/>
    </row>
    <row r="127" spans="1:25" s="426" customFormat="1">
      <c r="A127" s="457"/>
      <c r="B127" s="489" t="s">
        <v>78</v>
      </c>
      <c r="C127" s="492" t="s">
        <v>547</v>
      </c>
      <c r="D127" s="425"/>
      <c r="E127" s="425"/>
      <c r="F127" s="425"/>
      <c r="G127" s="425"/>
      <c r="H127" s="425"/>
      <c r="I127" s="425"/>
      <c r="J127" s="425"/>
      <c r="K127" s="10">
        <v>0</v>
      </c>
      <c r="L127" s="10">
        <v>0</v>
      </c>
      <c r="M127" s="194">
        <v>2256100</v>
      </c>
      <c r="N127" s="194"/>
      <c r="O127" s="490">
        <f t="shared" si="0"/>
        <v>0</v>
      </c>
      <c r="P127" s="490">
        <f t="shared" si="32"/>
        <v>0</v>
      </c>
      <c r="Q127" s="490"/>
      <c r="R127" s="490"/>
      <c r="S127" s="490"/>
      <c r="T127" s="490"/>
      <c r="U127" s="491"/>
      <c r="V127" s="491"/>
    </row>
    <row r="128" spans="1:25" s="373" customFormat="1">
      <c r="A128" s="389"/>
      <c r="B128" s="489" t="s">
        <v>78</v>
      </c>
      <c r="C128" s="494" t="s">
        <v>21</v>
      </c>
      <c r="D128" s="424"/>
      <c r="E128" s="424"/>
      <c r="F128" s="424"/>
      <c r="G128" s="424"/>
      <c r="H128" s="424"/>
      <c r="I128" s="424"/>
      <c r="J128" s="424"/>
      <c r="K128" s="10">
        <v>0</v>
      </c>
      <c r="L128" s="10">
        <v>0</v>
      </c>
      <c r="M128" s="10">
        <f>SUM(M129:M137)</f>
        <v>360000</v>
      </c>
      <c r="N128" s="10">
        <v>0</v>
      </c>
      <c r="O128" s="28">
        <f>L128+M128+N128</f>
        <v>360000</v>
      </c>
      <c r="P128" s="28">
        <f t="shared" si="32"/>
        <v>360000</v>
      </c>
      <c r="Q128" s="28"/>
      <c r="R128" s="10"/>
      <c r="S128" s="10"/>
      <c r="T128" s="10"/>
      <c r="U128" s="313"/>
      <c r="V128" s="313"/>
    </row>
    <row r="129" spans="1:22" s="373" customFormat="1" ht="69">
      <c r="A129" s="389"/>
      <c r="B129" s="489"/>
      <c r="C129" s="495" t="s">
        <v>829</v>
      </c>
      <c r="D129" s="424"/>
      <c r="E129" s="424"/>
      <c r="F129" s="424"/>
      <c r="G129" s="424"/>
      <c r="H129" s="424"/>
      <c r="I129" s="424"/>
      <c r="J129" s="424"/>
      <c r="K129" s="175"/>
      <c r="L129" s="175"/>
      <c r="M129" s="10">
        <f>80000+40000+50000</f>
        <v>170000</v>
      </c>
      <c r="N129" s="175"/>
      <c r="O129" s="368"/>
      <c r="P129" s="368"/>
      <c r="Q129" s="368"/>
      <c r="R129" s="175"/>
      <c r="S129" s="175"/>
      <c r="T129" s="175"/>
      <c r="U129" s="323"/>
      <c r="V129" s="323"/>
    </row>
    <row r="130" spans="1:22" s="373" customFormat="1" ht="69">
      <c r="A130" s="389"/>
      <c r="B130" s="423"/>
      <c r="C130" s="493" t="s">
        <v>830</v>
      </c>
      <c r="D130" s="424"/>
      <c r="E130" s="424"/>
      <c r="F130" s="424"/>
      <c r="G130" s="424"/>
      <c r="H130" s="424"/>
      <c r="I130" s="424"/>
      <c r="J130" s="424"/>
      <c r="K130" s="175"/>
      <c r="L130" s="175"/>
      <c r="M130" s="175"/>
      <c r="N130" s="175"/>
      <c r="O130" s="368"/>
      <c r="P130" s="368"/>
      <c r="Q130" s="368"/>
      <c r="R130" s="175"/>
      <c r="S130" s="175"/>
      <c r="T130" s="175"/>
      <c r="U130" s="323"/>
      <c r="V130" s="323"/>
    </row>
    <row r="131" spans="1:22" s="373" customFormat="1" ht="69">
      <c r="A131" s="389"/>
      <c r="B131" s="423"/>
      <c r="C131" s="493" t="s">
        <v>831</v>
      </c>
      <c r="D131" s="424"/>
      <c r="E131" s="424"/>
      <c r="F131" s="424"/>
      <c r="G131" s="424"/>
      <c r="H131" s="424"/>
      <c r="I131" s="424"/>
      <c r="J131" s="424"/>
      <c r="K131" s="175"/>
      <c r="L131" s="175"/>
      <c r="M131" s="175"/>
      <c r="N131" s="175"/>
      <c r="O131" s="368"/>
      <c r="P131" s="368"/>
      <c r="Q131" s="368"/>
      <c r="R131" s="175"/>
      <c r="S131" s="175"/>
      <c r="T131" s="175"/>
      <c r="U131" s="323"/>
      <c r="V131" s="323"/>
    </row>
    <row r="132" spans="1:22" s="373" customFormat="1" ht="54.75" customHeight="1">
      <c r="A132" s="389"/>
      <c r="B132" s="423"/>
      <c r="C132" s="493" t="s">
        <v>832</v>
      </c>
      <c r="D132" s="424"/>
      <c r="E132" s="424"/>
      <c r="F132" s="424"/>
      <c r="G132" s="424"/>
      <c r="H132" s="424"/>
      <c r="I132" s="424"/>
      <c r="J132" s="424"/>
      <c r="K132" s="175"/>
      <c r="L132" s="175"/>
      <c r="M132" s="175"/>
      <c r="N132" s="175"/>
      <c r="O132" s="368"/>
      <c r="P132" s="368"/>
      <c r="Q132" s="368"/>
      <c r="R132" s="175"/>
      <c r="S132" s="175"/>
      <c r="T132" s="175"/>
      <c r="U132" s="323"/>
      <c r="V132" s="323"/>
    </row>
    <row r="133" spans="1:22" s="373" customFormat="1" ht="93" customHeight="1">
      <c r="A133" s="389"/>
      <c r="B133" s="423"/>
      <c r="C133" s="495" t="s">
        <v>833</v>
      </c>
      <c r="D133" s="424"/>
      <c r="E133" s="424"/>
      <c r="F133" s="424"/>
      <c r="G133" s="424"/>
      <c r="H133" s="424"/>
      <c r="I133" s="424"/>
      <c r="J133" s="424"/>
      <c r="K133" s="175"/>
      <c r="L133" s="175"/>
      <c r="M133" s="10">
        <v>30000</v>
      </c>
      <c r="N133" s="175"/>
      <c r="O133" s="368"/>
      <c r="P133" s="368"/>
      <c r="Q133" s="368"/>
      <c r="R133" s="175"/>
      <c r="S133" s="175"/>
      <c r="T133" s="175"/>
      <c r="U133" s="323"/>
      <c r="V133" s="323"/>
    </row>
    <row r="134" spans="1:22" s="373" customFormat="1" ht="51.75">
      <c r="A134" s="389"/>
      <c r="B134" s="423"/>
      <c r="C134" s="493" t="s">
        <v>834</v>
      </c>
      <c r="D134" s="424"/>
      <c r="E134" s="424"/>
      <c r="F134" s="424"/>
      <c r="G134" s="424"/>
      <c r="H134" s="424"/>
      <c r="I134" s="424"/>
      <c r="J134" s="424"/>
      <c r="K134" s="175"/>
      <c r="L134" s="175"/>
      <c r="M134" s="175"/>
      <c r="N134" s="175"/>
      <c r="O134" s="368"/>
      <c r="P134" s="368"/>
      <c r="Q134" s="368"/>
      <c r="R134" s="175"/>
      <c r="S134" s="175"/>
      <c r="T134" s="175"/>
      <c r="U134" s="323"/>
      <c r="V134" s="323"/>
    </row>
    <row r="135" spans="1:22" s="373" customFormat="1" ht="72" customHeight="1">
      <c r="A135" s="389"/>
      <c r="B135" s="423"/>
      <c r="C135" s="495" t="s">
        <v>835</v>
      </c>
      <c r="D135" s="424"/>
      <c r="E135" s="424"/>
      <c r="F135" s="424"/>
      <c r="G135" s="424"/>
      <c r="H135" s="424"/>
      <c r="I135" s="424"/>
      <c r="J135" s="424"/>
      <c r="K135" s="175"/>
      <c r="L135" s="175"/>
      <c r="M135" s="10">
        <f>60000+100000</f>
        <v>160000</v>
      </c>
      <c r="N135" s="175"/>
      <c r="O135" s="368"/>
      <c r="P135" s="368"/>
      <c r="Q135" s="368"/>
      <c r="R135" s="175"/>
      <c r="S135" s="175"/>
      <c r="T135" s="175"/>
      <c r="U135" s="323"/>
      <c r="V135" s="323"/>
    </row>
    <row r="136" spans="1:22" s="373" customFormat="1" ht="69">
      <c r="A136" s="389"/>
      <c r="B136" s="423"/>
      <c r="C136" s="493" t="s">
        <v>836</v>
      </c>
      <c r="D136" s="424"/>
      <c r="E136" s="424"/>
      <c r="F136" s="424"/>
      <c r="G136" s="424"/>
      <c r="H136" s="424"/>
      <c r="I136" s="424"/>
      <c r="J136" s="424"/>
      <c r="K136" s="175"/>
      <c r="L136" s="175"/>
      <c r="M136" s="175"/>
      <c r="N136" s="175"/>
      <c r="O136" s="368"/>
      <c r="P136" s="368"/>
      <c r="Q136" s="368"/>
      <c r="R136" s="175"/>
      <c r="S136" s="175"/>
      <c r="T136" s="175"/>
      <c r="U136" s="323"/>
      <c r="V136" s="323"/>
    </row>
    <row r="137" spans="1:22" s="373" customFormat="1" ht="86.25">
      <c r="A137" s="389"/>
      <c r="B137" s="423"/>
      <c r="C137" s="493" t="s">
        <v>837</v>
      </c>
      <c r="D137" s="424"/>
      <c r="E137" s="424"/>
      <c r="F137" s="424"/>
      <c r="G137" s="424"/>
      <c r="H137" s="424"/>
      <c r="I137" s="424"/>
      <c r="J137" s="424"/>
      <c r="K137" s="175"/>
      <c r="L137" s="175"/>
      <c r="M137" s="175"/>
      <c r="N137" s="175"/>
      <c r="O137" s="368"/>
      <c r="P137" s="368"/>
      <c r="Q137" s="368"/>
      <c r="R137" s="175"/>
      <c r="S137" s="175"/>
      <c r="T137" s="175"/>
      <c r="U137" s="323"/>
      <c r="V137" s="323"/>
    </row>
    <row r="138" spans="1:22" s="373" customFormat="1">
      <c r="A138" s="389"/>
      <c r="B138" s="423" t="s">
        <v>78</v>
      </c>
      <c r="C138" s="492" t="s">
        <v>27</v>
      </c>
      <c r="D138" s="424"/>
      <c r="E138" s="424"/>
      <c r="F138" s="424"/>
      <c r="G138" s="424"/>
      <c r="H138" s="424"/>
      <c r="I138" s="424"/>
      <c r="J138" s="424"/>
      <c r="K138" s="175">
        <v>0</v>
      </c>
      <c r="L138" s="175">
        <v>0</v>
      </c>
      <c r="M138" s="179">
        <f>150000+5900</f>
        <v>155900</v>
      </c>
      <c r="N138" s="175"/>
      <c r="O138" s="368">
        <f t="shared" si="0"/>
        <v>0</v>
      </c>
      <c r="P138" s="368">
        <f t="shared" si="32"/>
        <v>0</v>
      </c>
      <c r="Q138" s="368"/>
      <c r="R138" s="175"/>
      <c r="S138" s="175"/>
      <c r="T138" s="175"/>
      <c r="U138" s="323"/>
      <c r="V138" s="323"/>
    </row>
    <row r="139" spans="1:22" s="373" customFormat="1">
      <c r="A139" s="389"/>
      <c r="B139" s="423" t="s">
        <v>78</v>
      </c>
      <c r="C139" s="492" t="s">
        <v>80</v>
      </c>
      <c r="D139" s="424"/>
      <c r="E139" s="424"/>
      <c r="F139" s="424"/>
      <c r="G139" s="424"/>
      <c r="H139" s="424"/>
      <c r="I139" s="424"/>
      <c r="J139" s="424"/>
      <c r="K139" s="175">
        <v>0</v>
      </c>
      <c r="L139" s="175">
        <v>0</v>
      </c>
      <c r="M139" s="179">
        <v>0</v>
      </c>
      <c r="N139" s="175"/>
      <c r="O139" s="368">
        <f t="shared" si="0"/>
        <v>0</v>
      </c>
      <c r="P139" s="368">
        <f t="shared" si="32"/>
        <v>0</v>
      </c>
      <c r="Q139" s="368"/>
      <c r="R139" s="175"/>
      <c r="S139" s="175"/>
      <c r="T139" s="175"/>
      <c r="U139" s="323"/>
      <c r="V139" s="323"/>
    </row>
    <row r="140" spans="1:22" s="373" customFormat="1">
      <c r="A140" s="389"/>
      <c r="B140" s="423" t="s">
        <v>78</v>
      </c>
      <c r="C140" s="492" t="s">
        <v>81</v>
      </c>
      <c r="D140" s="427"/>
      <c r="E140" s="427"/>
      <c r="F140" s="427"/>
      <c r="G140" s="427"/>
      <c r="H140" s="427"/>
      <c r="I140" s="427"/>
      <c r="J140" s="427"/>
      <c r="K140" s="175">
        <v>0</v>
      </c>
      <c r="L140" s="175">
        <v>0</v>
      </c>
      <c r="M140" s="179">
        <f>SUM(M145:M161)</f>
        <v>0</v>
      </c>
      <c r="N140" s="175"/>
      <c r="O140" s="368">
        <f t="shared" si="0"/>
        <v>0</v>
      </c>
      <c r="P140" s="368">
        <f t="shared" si="32"/>
        <v>0</v>
      </c>
      <c r="Q140" s="368"/>
      <c r="R140" s="175"/>
      <c r="S140" s="175"/>
      <c r="T140" s="175"/>
      <c r="U140" s="323"/>
      <c r="V140" s="323"/>
    </row>
    <row r="141" spans="1:22" s="373" customFormat="1" ht="269.25" customHeight="1">
      <c r="A141" s="389"/>
      <c r="B141" s="423"/>
      <c r="C141" s="495" t="s">
        <v>838</v>
      </c>
      <c r="D141" s="374" t="s">
        <v>695</v>
      </c>
      <c r="E141" s="374" t="s">
        <v>696</v>
      </c>
      <c r="F141" s="319" t="s">
        <v>697</v>
      </c>
      <c r="G141" s="374" t="s">
        <v>698</v>
      </c>
      <c r="H141" s="319" t="s">
        <v>699</v>
      </c>
      <c r="I141" s="374" t="s">
        <v>450</v>
      </c>
      <c r="J141" s="496"/>
      <c r="K141" s="175"/>
      <c r="L141" s="175"/>
      <c r="M141" s="134">
        <v>100000</v>
      </c>
      <c r="N141" s="175"/>
      <c r="O141" s="368"/>
      <c r="P141" s="368"/>
      <c r="Q141" s="368"/>
      <c r="R141" s="175"/>
      <c r="S141" s="175"/>
      <c r="T141" s="175"/>
      <c r="U141" s="323"/>
      <c r="V141" s="323"/>
    </row>
    <row r="142" spans="1:22" s="373" customFormat="1" ht="69">
      <c r="A142" s="389"/>
      <c r="B142" s="423"/>
      <c r="C142" s="495" t="s">
        <v>839</v>
      </c>
      <c r="D142" s="358" t="s">
        <v>445</v>
      </c>
      <c r="E142" s="358" t="s">
        <v>445</v>
      </c>
      <c r="F142" s="358" t="s">
        <v>445</v>
      </c>
      <c r="G142" s="358" t="s">
        <v>445</v>
      </c>
      <c r="H142" s="358" t="s">
        <v>445</v>
      </c>
      <c r="I142" s="358" t="s">
        <v>445</v>
      </c>
      <c r="J142" s="358" t="s">
        <v>445</v>
      </c>
      <c r="K142" s="175"/>
      <c r="L142" s="175"/>
      <c r="M142" s="134">
        <v>4000</v>
      </c>
      <c r="N142" s="175"/>
      <c r="O142" s="368"/>
      <c r="P142" s="368"/>
      <c r="Q142" s="368"/>
      <c r="R142" s="175"/>
      <c r="S142" s="175"/>
      <c r="T142" s="175"/>
      <c r="U142" s="323"/>
      <c r="V142" s="323"/>
    </row>
    <row r="143" spans="1:22" s="373" customFormat="1" ht="86.25">
      <c r="A143" s="389"/>
      <c r="B143" s="423"/>
      <c r="C143" s="495" t="s">
        <v>840</v>
      </c>
      <c r="D143" s="374" t="s">
        <v>691</v>
      </c>
      <c r="E143" s="374" t="s">
        <v>692</v>
      </c>
      <c r="F143" s="374" t="s">
        <v>689</v>
      </c>
      <c r="G143" s="374" t="s">
        <v>693</v>
      </c>
      <c r="H143" s="402" t="s">
        <v>694</v>
      </c>
      <c r="I143" s="421" t="s">
        <v>690</v>
      </c>
      <c r="J143" s="496"/>
      <c r="K143" s="175"/>
      <c r="L143" s="175"/>
      <c r="M143" s="179">
        <v>4300</v>
      </c>
      <c r="N143" s="175"/>
      <c r="O143" s="368"/>
      <c r="P143" s="368"/>
      <c r="Q143" s="368"/>
      <c r="R143" s="175"/>
      <c r="S143" s="175"/>
      <c r="T143" s="175"/>
      <c r="U143" s="323"/>
      <c r="V143" s="323"/>
    </row>
    <row r="144" spans="1:22" s="373" customFormat="1" ht="34.5">
      <c r="A144" s="389"/>
      <c r="B144" s="423"/>
      <c r="C144" s="495" t="s">
        <v>841</v>
      </c>
      <c r="D144" s="358" t="s">
        <v>445</v>
      </c>
      <c r="E144" s="358" t="s">
        <v>445</v>
      </c>
      <c r="F144" s="358" t="s">
        <v>445</v>
      </c>
      <c r="G144" s="358" t="s">
        <v>445</v>
      </c>
      <c r="H144" s="358" t="s">
        <v>445</v>
      </c>
      <c r="I144" s="358" t="s">
        <v>445</v>
      </c>
      <c r="J144" s="358" t="s">
        <v>445</v>
      </c>
      <c r="K144" s="175"/>
      <c r="L144" s="175"/>
      <c r="M144" s="179">
        <v>50000</v>
      </c>
      <c r="N144" s="175"/>
      <c r="O144" s="368"/>
      <c r="P144" s="368"/>
      <c r="Q144" s="368"/>
      <c r="R144" s="175"/>
      <c r="S144" s="175"/>
      <c r="T144" s="175"/>
      <c r="U144" s="323"/>
      <c r="V144" s="323"/>
    </row>
    <row r="145" spans="1:23" s="373" customFormat="1" ht="63">
      <c r="A145" s="361">
        <v>7</v>
      </c>
      <c r="B145" s="362" t="s">
        <v>16</v>
      </c>
      <c r="C145" s="497" t="s">
        <v>548</v>
      </c>
      <c r="D145" s="428"/>
      <c r="E145" s="428"/>
      <c r="F145" s="428"/>
      <c r="G145" s="428"/>
      <c r="H145" s="428"/>
      <c r="I145" s="428"/>
      <c r="J145" s="428"/>
      <c r="K145" s="10">
        <f>K146</f>
        <v>0</v>
      </c>
      <c r="L145" s="10">
        <f>L146</f>
        <v>0</v>
      </c>
      <c r="M145" s="10"/>
      <c r="N145" s="10">
        <f>N146+N153</f>
        <v>5213000</v>
      </c>
      <c r="O145" s="28">
        <f>O146+O153</f>
        <v>5213000</v>
      </c>
      <c r="P145" s="10">
        <f>K145+O145</f>
        <v>5213000</v>
      </c>
      <c r="Q145" s="10"/>
      <c r="R145" s="10"/>
      <c r="S145" s="10"/>
      <c r="T145" s="10"/>
      <c r="U145" s="363"/>
      <c r="V145" s="363"/>
    </row>
    <row r="146" spans="1:23" ht="56.25" customHeight="1">
      <c r="A146" s="498">
        <v>7.1</v>
      </c>
      <c r="B146" s="489" t="s">
        <v>93</v>
      </c>
      <c r="C146" s="25" t="s">
        <v>842</v>
      </c>
      <c r="D146" s="690" t="s">
        <v>549</v>
      </c>
      <c r="E146" s="690" t="s">
        <v>550</v>
      </c>
      <c r="F146" s="690" t="s">
        <v>551</v>
      </c>
      <c r="G146" s="690" t="s">
        <v>35</v>
      </c>
      <c r="H146" s="690" t="s">
        <v>461</v>
      </c>
      <c r="I146" s="690" t="s">
        <v>552</v>
      </c>
      <c r="J146" s="429"/>
      <c r="K146" s="499">
        <f>SUM(K147:K152)</f>
        <v>0</v>
      </c>
      <c r="L146" s="499">
        <f>SUM(L147:L152)</f>
        <v>0</v>
      </c>
      <c r="M146" s="499"/>
      <c r="N146" s="10">
        <f>N147+N148+N149</f>
        <v>2516000</v>
      </c>
      <c r="O146" s="329">
        <f>L146+M146+N146</f>
        <v>2516000</v>
      </c>
      <c r="P146" s="10">
        <f t="shared" ref="P146:P152" si="34">K146+O146</f>
        <v>2516000</v>
      </c>
      <c r="Q146" s="499"/>
      <c r="R146" s="499"/>
      <c r="S146" s="499"/>
      <c r="T146" s="499"/>
      <c r="U146" s="693"/>
      <c r="V146" s="693"/>
    </row>
    <row r="147" spans="1:23">
      <c r="A147" s="430"/>
      <c r="B147" s="489" t="s">
        <v>93</v>
      </c>
      <c r="C147" s="492" t="s">
        <v>79</v>
      </c>
      <c r="D147" s="691"/>
      <c r="E147" s="691"/>
      <c r="F147" s="691"/>
      <c r="G147" s="691"/>
      <c r="H147" s="691"/>
      <c r="I147" s="691"/>
      <c r="J147" s="396"/>
      <c r="K147" s="10">
        <v>0</v>
      </c>
      <c r="L147" s="10">
        <v>0</v>
      </c>
      <c r="M147" s="10"/>
      <c r="N147" s="28">
        <v>1892600</v>
      </c>
      <c r="O147" s="329">
        <f t="shared" ref="O147:O152" si="35">L147+M147+N147</f>
        <v>1892600</v>
      </c>
      <c r="P147" s="10">
        <f t="shared" si="34"/>
        <v>1892600</v>
      </c>
      <c r="Q147" s="28"/>
      <c r="R147" s="28"/>
      <c r="S147" s="28"/>
      <c r="T147" s="355"/>
      <c r="U147" s="694"/>
      <c r="V147" s="694"/>
    </row>
    <row r="148" spans="1:23">
      <c r="A148" s="430"/>
      <c r="B148" s="489" t="s">
        <v>93</v>
      </c>
      <c r="C148" s="492" t="s">
        <v>19</v>
      </c>
      <c r="D148" s="691"/>
      <c r="E148" s="691"/>
      <c r="F148" s="691"/>
      <c r="G148" s="691"/>
      <c r="H148" s="691"/>
      <c r="I148" s="691"/>
      <c r="J148" s="396"/>
      <c r="K148" s="10">
        <v>0</v>
      </c>
      <c r="L148" s="10">
        <v>0</v>
      </c>
      <c r="M148" s="10"/>
      <c r="N148" s="28">
        <v>0</v>
      </c>
      <c r="O148" s="329">
        <f t="shared" si="35"/>
        <v>0</v>
      </c>
      <c r="P148" s="10">
        <f t="shared" si="34"/>
        <v>0</v>
      </c>
      <c r="Q148" s="28"/>
      <c r="R148" s="28"/>
      <c r="S148" s="28"/>
      <c r="T148" s="355"/>
      <c r="U148" s="694"/>
      <c r="V148" s="694"/>
    </row>
    <row r="149" spans="1:23">
      <c r="A149" s="430"/>
      <c r="B149" s="489" t="s">
        <v>93</v>
      </c>
      <c r="C149" s="492" t="s">
        <v>28</v>
      </c>
      <c r="D149" s="691"/>
      <c r="E149" s="691"/>
      <c r="F149" s="691"/>
      <c r="G149" s="691"/>
      <c r="H149" s="691"/>
      <c r="I149" s="691"/>
      <c r="J149" s="396"/>
      <c r="K149" s="10">
        <v>0</v>
      </c>
      <c r="L149" s="10">
        <v>0</v>
      </c>
      <c r="M149" s="10"/>
      <c r="N149" s="28">
        <v>623400</v>
      </c>
      <c r="O149" s="329">
        <f t="shared" si="35"/>
        <v>623400</v>
      </c>
      <c r="P149" s="10">
        <f t="shared" si="34"/>
        <v>623400</v>
      </c>
      <c r="Q149" s="28"/>
      <c r="R149" s="28"/>
      <c r="S149" s="28"/>
      <c r="T149" s="355"/>
      <c r="U149" s="694"/>
      <c r="V149" s="694"/>
    </row>
    <row r="150" spans="1:23">
      <c r="A150" s="430"/>
      <c r="B150" s="489" t="s">
        <v>93</v>
      </c>
      <c r="C150" s="495" t="s">
        <v>322</v>
      </c>
      <c r="D150" s="691"/>
      <c r="E150" s="691"/>
      <c r="F150" s="691"/>
      <c r="G150" s="691"/>
      <c r="H150" s="691"/>
      <c r="I150" s="691"/>
      <c r="J150" s="396"/>
      <c r="K150" s="10"/>
      <c r="L150" s="10"/>
      <c r="M150" s="10"/>
      <c r="N150" s="28">
        <v>470400</v>
      </c>
      <c r="O150" s="329">
        <f t="shared" si="35"/>
        <v>470400</v>
      </c>
      <c r="P150" s="10">
        <f t="shared" si="34"/>
        <v>470400</v>
      </c>
      <c r="Q150" s="28"/>
      <c r="R150" s="28"/>
      <c r="S150" s="28"/>
      <c r="T150" s="28"/>
      <c r="U150" s="694"/>
      <c r="V150" s="694"/>
    </row>
    <row r="151" spans="1:23">
      <c r="A151" s="430"/>
      <c r="B151" s="489" t="s">
        <v>93</v>
      </c>
      <c r="C151" s="495" t="s">
        <v>350</v>
      </c>
      <c r="D151" s="691"/>
      <c r="E151" s="691"/>
      <c r="F151" s="691"/>
      <c r="G151" s="691"/>
      <c r="H151" s="691"/>
      <c r="I151" s="691"/>
      <c r="J151" s="396"/>
      <c r="K151" s="10"/>
      <c r="L151" s="10"/>
      <c r="M151" s="10"/>
      <c r="N151" s="28">
        <v>53000</v>
      </c>
      <c r="O151" s="329">
        <f t="shared" si="35"/>
        <v>53000</v>
      </c>
      <c r="P151" s="10">
        <f t="shared" si="34"/>
        <v>53000</v>
      </c>
      <c r="Q151" s="28"/>
      <c r="R151" s="28"/>
      <c r="S151" s="28"/>
      <c r="T151" s="28"/>
      <c r="U151" s="694"/>
      <c r="V151" s="694"/>
    </row>
    <row r="152" spans="1:23">
      <c r="A152" s="430"/>
      <c r="B152" s="489" t="s">
        <v>93</v>
      </c>
      <c r="C152" s="495" t="s">
        <v>351</v>
      </c>
      <c r="D152" s="692"/>
      <c r="E152" s="692"/>
      <c r="F152" s="692"/>
      <c r="G152" s="692"/>
      <c r="H152" s="692"/>
      <c r="I152" s="692"/>
      <c r="J152" s="396"/>
      <c r="K152" s="10"/>
      <c r="L152" s="10"/>
      <c r="M152" s="10"/>
      <c r="N152" s="28">
        <v>100000</v>
      </c>
      <c r="O152" s="329">
        <f t="shared" si="35"/>
        <v>100000</v>
      </c>
      <c r="P152" s="10">
        <f t="shared" si="34"/>
        <v>100000</v>
      </c>
      <c r="Q152" s="28"/>
      <c r="R152" s="28"/>
      <c r="S152" s="28"/>
      <c r="T152" s="28"/>
      <c r="U152" s="695"/>
      <c r="V152" s="695"/>
    </row>
    <row r="153" spans="1:23" ht="93.75">
      <c r="A153" s="430"/>
      <c r="B153" s="489" t="s">
        <v>93</v>
      </c>
      <c r="C153" s="25" t="s">
        <v>843</v>
      </c>
      <c r="D153" s="432"/>
      <c r="E153" s="432"/>
      <c r="F153" s="432"/>
      <c r="G153" s="432"/>
      <c r="H153" s="432"/>
      <c r="I153" s="432"/>
      <c r="J153" s="432"/>
      <c r="K153" s="175">
        <f>K154</f>
        <v>0</v>
      </c>
      <c r="L153" s="175">
        <f>L154</f>
        <v>0</v>
      </c>
      <c r="M153" s="175"/>
      <c r="N153" s="175">
        <f>N154</f>
        <v>2697000</v>
      </c>
      <c r="O153" s="368">
        <f t="shared" ref="O153:O197" si="36">L153+N153</f>
        <v>2697000</v>
      </c>
      <c r="P153" s="175">
        <f>K153+O153</f>
        <v>2697000</v>
      </c>
      <c r="Q153" s="175"/>
      <c r="R153" s="175"/>
      <c r="S153" s="175"/>
      <c r="T153" s="175"/>
      <c r="U153" s="372"/>
      <c r="V153" s="372"/>
    </row>
    <row r="154" spans="1:23" ht="37.5">
      <c r="A154" s="430"/>
      <c r="B154" s="408"/>
      <c r="C154" s="494" t="s">
        <v>844</v>
      </c>
      <c r="D154" s="432"/>
      <c r="E154" s="432"/>
      <c r="F154" s="432"/>
      <c r="G154" s="432"/>
      <c r="H154" s="432"/>
      <c r="I154" s="432"/>
      <c r="J154" s="432"/>
      <c r="K154" s="175">
        <f>SUM(K155:K199)</f>
        <v>0</v>
      </c>
      <c r="L154" s="175">
        <f>SUM(L155:L199)</f>
        <v>0</v>
      </c>
      <c r="M154" s="175"/>
      <c r="N154" s="175">
        <f>SUM(N155:N199)</f>
        <v>2697000</v>
      </c>
      <c r="O154" s="175">
        <f>L154+M154+N154</f>
        <v>2697000</v>
      </c>
      <c r="P154" s="175">
        <f>K154+O154</f>
        <v>2697000</v>
      </c>
      <c r="Q154" s="175"/>
      <c r="R154" s="175"/>
      <c r="S154" s="175"/>
      <c r="T154" s="175"/>
      <c r="U154" s="323"/>
      <c r="V154" s="323"/>
    </row>
    <row r="155" spans="1:23" s="324" customFormat="1" ht="120.75">
      <c r="A155" s="503">
        <v>7.2</v>
      </c>
      <c r="B155" s="347" t="s">
        <v>97</v>
      </c>
      <c r="C155" s="495" t="s">
        <v>845</v>
      </c>
      <c r="D155" s="401" t="s">
        <v>553</v>
      </c>
      <c r="E155" s="401" t="s">
        <v>554</v>
      </c>
      <c r="F155" s="401" t="s">
        <v>555</v>
      </c>
      <c r="G155" s="421">
        <v>80</v>
      </c>
      <c r="H155" s="374" t="s">
        <v>461</v>
      </c>
      <c r="I155" s="401" t="s">
        <v>556</v>
      </c>
      <c r="J155" s="433"/>
      <c r="K155" s="106">
        <v>0</v>
      </c>
      <c r="L155" s="106">
        <v>0</v>
      </c>
      <c r="M155" s="106"/>
      <c r="N155" s="23">
        <v>6000</v>
      </c>
      <c r="O155" s="13">
        <f t="shared" si="36"/>
        <v>6000</v>
      </c>
      <c r="P155" s="13">
        <f t="shared" ref="P155:P197" si="37">K155+O155</f>
        <v>6000</v>
      </c>
      <c r="Q155" s="13"/>
      <c r="R155" s="13"/>
      <c r="S155" s="13"/>
      <c r="T155" s="13"/>
      <c r="U155" s="317"/>
      <c r="V155" s="317"/>
    </row>
    <row r="156" spans="1:23" s="324" customFormat="1" ht="86.25">
      <c r="A156" s="504">
        <v>7.3</v>
      </c>
      <c r="B156" s="347" t="s">
        <v>97</v>
      </c>
      <c r="C156" s="495" t="s">
        <v>846</v>
      </c>
      <c r="D156" s="401" t="s">
        <v>557</v>
      </c>
      <c r="E156" s="401" t="s">
        <v>558</v>
      </c>
      <c r="F156" s="401" t="s">
        <v>559</v>
      </c>
      <c r="G156" s="421">
        <v>100</v>
      </c>
      <c r="H156" s="374" t="s">
        <v>461</v>
      </c>
      <c r="I156" s="401" t="s">
        <v>560</v>
      </c>
      <c r="J156" s="433"/>
      <c r="K156" s="130">
        <v>0</v>
      </c>
      <c r="L156" s="130">
        <v>0</v>
      </c>
      <c r="M156" s="130"/>
      <c r="N156" s="23">
        <v>8000</v>
      </c>
      <c r="O156" s="13">
        <f t="shared" si="36"/>
        <v>8000</v>
      </c>
      <c r="P156" s="13">
        <f t="shared" si="37"/>
        <v>8000</v>
      </c>
      <c r="Q156" s="13"/>
      <c r="R156" s="13"/>
      <c r="S156" s="13"/>
      <c r="T156" s="13"/>
      <c r="U156" s="317"/>
      <c r="V156" s="317"/>
    </row>
    <row r="157" spans="1:23" s="324" customFormat="1" ht="69">
      <c r="A157" s="504">
        <v>7.4</v>
      </c>
      <c r="B157" s="347" t="s">
        <v>97</v>
      </c>
      <c r="C157" s="495" t="s">
        <v>847</v>
      </c>
      <c r="D157" s="401" t="s">
        <v>561</v>
      </c>
      <c r="E157" s="401" t="s">
        <v>562</v>
      </c>
      <c r="F157" s="401" t="s">
        <v>563</v>
      </c>
      <c r="G157" s="421">
        <v>50</v>
      </c>
      <c r="H157" s="374" t="s">
        <v>461</v>
      </c>
      <c r="I157" s="401" t="s">
        <v>564</v>
      </c>
      <c r="J157" s="433"/>
      <c r="K157" s="130">
        <v>0</v>
      </c>
      <c r="L157" s="130">
        <v>0</v>
      </c>
      <c r="M157" s="130"/>
      <c r="N157" s="23">
        <v>6000</v>
      </c>
      <c r="O157" s="13">
        <f t="shared" si="36"/>
        <v>6000</v>
      </c>
      <c r="P157" s="13">
        <f t="shared" si="37"/>
        <v>6000</v>
      </c>
      <c r="Q157" s="13"/>
      <c r="R157" s="13"/>
      <c r="S157" s="13"/>
      <c r="T157" s="13"/>
      <c r="U157" s="317"/>
      <c r="V157" s="317"/>
    </row>
    <row r="158" spans="1:23" s="324" customFormat="1" ht="103.5">
      <c r="A158" s="505">
        <v>7.5</v>
      </c>
      <c r="B158" s="347" t="s">
        <v>100</v>
      </c>
      <c r="C158" s="495" t="s">
        <v>848</v>
      </c>
      <c r="D158" s="401" t="s">
        <v>565</v>
      </c>
      <c r="E158" s="401" t="s">
        <v>566</v>
      </c>
      <c r="F158" s="401" t="s">
        <v>567</v>
      </c>
      <c r="G158" s="401" t="s">
        <v>568</v>
      </c>
      <c r="H158" s="435"/>
      <c r="I158" s="401" t="s">
        <v>552</v>
      </c>
      <c r="J158" s="434"/>
      <c r="K158" s="130">
        <v>0</v>
      </c>
      <c r="L158" s="130">
        <v>0</v>
      </c>
      <c r="M158" s="130"/>
      <c r="N158" s="23">
        <v>5000</v>
      </c>
      <c r="O158" s="13">
        <f t="shared" si="36"/>
        <v>5000</v>
      </c>
      <c r="P158" s="13">
        <f t="shared" si="37"/>
        <v>5000</v>
      </c>
      <c r="Q158" s="13"/>
      <c r="R158" s="13"/>
      <c r="S158" s="13"/>
      <c r="T158" s="13"/>
      <c r="U158" s="506"/>
      <c r="V158" s="507"/>
    </row>
    <row r="159" spans="1:23" s="324" customFormat="1" ht="138">
      <c r="A159" s="504">
        <v>7.6</v>
      </c>
      <c r="B159" s="350" t="s">
        <v>46</v>
      </c>
      <c r="C159" s="495" t="s">
        <v>849</v>
      </c>
      <c r="D159" s="401" t="s">
        <v>569</v>
      </c>
      <c r="E159" s="401" t="s">
        <v>570</v>
      </c>
      <c r="F159" s="401" t="s">
        <v>571</v>
      </c>
      <c r="G159" s="401" t="s">
        <v>572</v>
      </c>
      <c r="H159" s="436"/>
      <c r="I159" s="401" t="s">
        <v>552</v>
      </c>
      <c r="J159" s="333"/>
      <c r="K159" s="130">
        <v>0</v>
      </c>
      <c r="L159" s="130">
        <v>0</v>
      </c>
      <c r="M159" s="130"/>
      <c r="N159" s="23">
        <v>20000</v>
      </c>
      <c r="O159" s="13">
        <f t="shared" si="36"/>
        <v>20000</v>
      </c>
      <c r="P159" s="13">
        <f t="shared" si="37"/>
        <v>20000</v>
      </c>
      <c r="Q159" s="13"/>
      <c r="R159" s="13"/>
      <c r="S159" s="13"/>
      <c r="T159" s="13"/>
      <c r="U159" s="317"/>
      <c r="V159" s="13"/>
    </row>
    <row r="160" spans="1:23" s="438" customFormat="1" ht="171" customHeight="1">
      <c r="A160" s="504">
        <v>7.7</v>
      </c>
      <c r="B160" s="347" t="s">
        <v>46</v>
      </c>
      <c r="C160" s="495" t="s">
        <v>850</v>
      </c>
      <c r="D160" s="401" t="s">
        <v>573</v>
      </c>
      <c r="E160" s="401" t="s">
        <v>574</v>
      </c>
      <c r="F160" s="401" t="s">
        <v>575</v>
      </c>
      <c r="G160" s="401" t="s">
        <v>576</v>
      </c>
      <c r="H160" s="401" t="s">
        <v>577</v>
      </c>
      <c r="I160" s="401" t="s">
        <v>552</v>
      </c>
      <c r="J160" s="437"/>
      <c r="K160" s="130">
        <v>0</v>
      </c>
      <c r="L160" s="130">
        <v>0</v>
      </c>
      <c r="M160" s="130"/>
      <c r="N160" s="160">
        <v>18500</v>
      </c>
      <c r="O160" s="13">
        <f t="shared" si="36"/>
        <v>18500</v>
      </c>
      <c r="P160" s="13">
        <f t="shared" si="37"/>
        <v>18500</v>
      </c>
      <c r="Q160" s="13"/>
      <c r="R160" s="13"/>
      <c r="S160" s="13"/>
      <c r="T160" s="13"/>
      <c r="U160" s="326"/>
      <c r="V160" s="317"/>
      <c r="W160" s="508"/>
    </row>
    <row r="161" spans="1:24" s="438" customFormat="1" ht="224.25">
      <c r="A161" s="504">
        <v>7.8</v>
      </c>
      <c r="B161" s="347" t="s">
        <v>100</v>
      </c>
      <c r="C161" s="495" t="s">
        <v>851</v>
      </c>
      <c r="D161" s="401" t="s">
        <v>578</v>
      </c>
      <c r="E161" s="401" t="s">
        <v>579</v>
      </c>
      <c r="F161" s="401" t="s">
        <v>580</v>
      </c>
      <c r="G161" s="401" t="s">
        <v>581</v>
      </c>
      <c r="H161" s="401" t="s">
        <v>582</v>
      </c>
      <c r="I161" s="401" t="s">
        <v>552</v>
      </c>
      <c r="J161" s="437"/>
      <c r="K161" s="130">
        <v>0</v>
      </c>
      <c r="L161" s="130">
        <v>0</v>
      </c>
      <c r="M161" s="130"/>
      <c r="N161" s="160">
        <v>4000</v>
      </c>
      <c r="O161" s="13">
        <f t="shared" si="36"/>
        <v>4000</v>
      </c>
      <c r="P161" s="13">
        <f t="shared" si="37"/>
        <v>4000</v>
      </c>
      <c r="Q161" s="13"/>
      <c r="R161" s="13"/>
      <c r="S161" s="13"/>
      <c r="T161" s="13"/>
      <c r="U161" s="326"/>
      <c r="V161" s="317"/>
    </row>
    <row r="162" spans="1:24" s="324" customFormat="1" ht="103.5">
      <c r="A162" s="504">
        <v>7.9</v>
      </c>
      <c r="B162" s="347" t="s">
        <v>46</v>
      </c>
      <c r="C162" s="495" t="s">
        <v>103</v>
      </c>
      <c r="D162" s="401" t="s">
        <v>583</v>
      </c>
      <c r="E162" s="401" t="s">
        <v>584</v>
      </c>
      <c r="F162" s="401" t="s">
        <v>585</v>
      </c>
      <c r="G162" s="420">
        <v>80</v>
      </c>
      <c r="H162" s="401" t="s">
        <v>461</v>
      </c>
      <c r="I162" s="333"/>
      <c r="J162" s="333"/>
      <c r="K162" s="130">
        <v>0</v>
      </c>
      <c r="L162" s="130">
        <v>0</v>
      </c>
      <c r="M162" s="130"/>
      <c r="N162" s="23">
        <v>8000</v>
      </c>
      <c r="O162" s="13">
        <f t="shared" si="36"/>
        <v>8000</v>
      </c>
      <c r="P162" s="13">
        <f t="shared" si="37"/>
        <v>8000</v>
      </c>
      <c r="Q162" s="13"/>
      <c r="R162" s="13"/>
      <c r="S162" s="13"/>
      <c r="T162" s="340"/>
      <c r="U162" s="317"/>
      <c r="V162" s="317"/>
    </row>
    <row r="163" spans="1:24" s="400" customFormat="1" ht="138">
      <c r="A163" s="510">
        <v>7.1</v>
      </c>
      <c r="B163" s="347" t="s">
        <v>46</v>
      </c>
      <c r="C163" s="495" t="s">
        <v>1026</v>
      </c>
      <c r="D163" s="401" t="s">
        <v>586</v>
      </c>
      <c r="E163" s="401" t="s">
        <v>587</v>
      </c>
      <c r="F163" s="401" t="s">
        <v>588</v>
      </c>
      <c r="G163" s="401" t="s">
        <v>589</v>
      </c>
      <c r="H163" s="401" t="s">
        <v>590</v>
      </c>
      <c r="I163" s="401" t="s">
        <v>556</v>
      </c>
      <c r="J163" s="407"/>
      <c r="K163" s="130">
        <v>0</v>
      </c>
      <c r="L163" s="130">
        <v>0</v>
      </c>
      <c r="M163" s="130"/>
      <c r="N163" s="23">
        <v>90000</v>
      </c>
      <c r="O163" s="13">
        <f t="shared" si="36"/>
        <v>90000</v>
      </c>
      <c r="P163" s="13">
        <f t="shared" si="37"/>
        <v>90000</v>
      </c>
      <c r="Q163" s="13"/>
      <c r="R163" s="13"/>
      <c r="S163" s="13"/>
      <c r="T163" s="13"/>
      <c r="U163" s="509"/>
      <c r="V163" s="509"/>
      <c r="W163" s="318"/>
      <c r="X163" s="318"/>
    </row>
    <row r="164" spans="1:24" s="400" customFormat="1" ht="120.75">
      <c r="A164" s="510">
        <v>7.11</v>
      </c>
      <c r="B164" s="347" t="s">
        <v>46</v>
      </c>
      <c r="C164" s="495" t="s">
        <v>1027</v>
      </c>
      <c r="D164" s="401" t="s">
        <v>591</v>
      </c>
      <c r="E164" s="401" t="s">
        <v>592</v>
      </c>
      <c r="F164" s="401" t="s">
        <v>593</v>
      </c>
      <c r="G164" s="401" t="s">
        <v>594</v>
      </c>
      <c r="H164" s="401" t="s">
        <v>595</v>
      </c>
      <c r="I164" s="407"/>
      <c r="J164" s="407"/>
      <c r="K164" s="130">
        <v>0</v>
      </c>
      <c r="L164" s="130">
        <v>0</v>
      </c>
      <c r="M164" s="130"/>
      <c r="N164" s="23">
        <v>1400000</v>
      </c>
      <c r="O164" s="13">
        <f t="shared" si="36"/>
        <v>1400000</v>
      </c>
      <c r="P164" s="13">
        <f t="shared" si="37"/>
        <v>1400000</v>
      </c>
      <c r="Q164" s="13"/>
      <c r="R164" s="13"/>
      <c r="S164" s="13"/>
      <c r="T164" s="13"/>
      <c r="U164" s="326"/>
      <c r="V164" s="317"/>
    </row>
    <row r="165" spans="1:24" s="324" customFormat="1" ht="161.25" customHeight="1">
      <c r="A165" s="510">
        <v>7.12</v>
      </c>
      <c r="B165" s="347" t="s">
        <v>46</v>
      </c>
      <c r="C165" s="495" t="s">
        <v>1028</v>
      </c>
      <c r="D165" s="401" t="s">
        <v>596</v>
      </c>
      <c r="E165" s="401" t="s">
        <v>597</v>
      </c>
      <c r="F165" s="401" t="s">
        <v>598</v>
      </c>
      <c r="G165" s="401" t="s">
        <v>599</v>
      </c>
      <c r="H165" s="401" t="s">
        <v>600</v>
      </c>
      <c r="I165" s="333"/>
      <c r="J165" s="333"/>
      <c r="K165" s="130">
        <v>0</v>
      </c>
      <c r="L165" s="130">
        <v>0</v>
      </c>
      <c r="M165" s="130"/>
      <c r="N165" s="23">
        <v>45000</v>
      </c>
      <c r="O165" s="13">
        <f t="shared" si="36"/>
        <v>45000</v>
      </c>
      <c r="P165" s="13">
        <f t="shared" si="37"/>
        <v>45000</v>
      </c>
      <c r="Q165" s="13"/>
      <c r="R165" s="13"/>
      <c r="S165" s="511"/>
      <c r="T165" s="511"/>
      <c r="U165" s="506"/>
      <c r="V165" s="317"/>
    </row>
    <row r="166" spans="1:24" s="324" customFormat="1" ht="129" customHeight="1">
      <c r="A166" s="510">
        <v>7.13</v>
      </c>
      <c r="B166" s="347" t="s">
        <v>46</v>
      </c>
      <c r="C166" s="495" t="s">
        <v>852</v>
      </c>
      <c r="D166" s="431" t="s">
        <v>854</v>
      </c>
      <c r="E166" s="401" t="s">
        <v>601</v>
      </c>
      <c r="F166" s="401" t="s">
        <v>602</v>
      </c>
      <c r="G166" s="420">
        <v>80</v>
      </c>
      <c r="H166" s="401" t="s">
        <v>461</v>
      </c>
      <c r="I166" s="333"/>
      <c r="J166" s="333"/>
      <c r="K166" s="130">
        <v>0</v>
      </c>
      <c r="L166" s="130">
        <v>0</v>
      </c>
      <c r="M166" s="130"/>
      <c r="N166" s="23">
        <f>50*40*12</f>
        <v>24000</v>
      </c>
      <c r="O166" s="13">
        <f t="shared" si="36"/>
        <v>24000</v>
      </c>
      <c r="P166" s="13">
        <f t="shared" si="37"/>
        <v>24000</v>
      </c>
      <c r="Q166" s="13"/>
      <c r="R166" s="13"/>
      <c r="S166" s="13"/>
      <c r="T166" s="13"/>
      <c r="U166" s="326"/>
      <c r="V166" s="317"/>
    </row>
    <row r="167" spans="1:24" s="324" customFormat="1" ht="226.5" customHeight="1">
      <c r="A167" s="505">
        <v>7.14</v>
      </c>
      <c r="B167" s="350" t="s">
        <v>97</v>
      </c>
      <c r="C167" s="495" t="s">
        <v>853</v>
      </c>
      <c r="D167" s="319" t="s">
        <v>603</v>
      </c>
      <c r="E167" s="319" t="s">
        <v>604</v>
      </c>
      <c r="F167" s="319" t="s">
        <v>605</v>
      </c>
      <c r="G167" s="319" t="s">
        <v>606</v>
      </c>
      <c r="H167" s="319" t="s">
        <v>607</v>
      </c>
      <c r="I167" s="333"/>
      <c r="J167" s="333"/>
      <c r="K167" s="130">
        <v>0</v>
      </c>
      <c r="L167" s="130">
        <v>0</v>
      </c>
      <c r="M167" s="130"/>
      <c r="N167" s="23">
        <v>6000</v>
      </c>
      <c r="O167" s="13">
        <f t="shared" si="36"/>
        <v>6000</v>
      </c>
      <c r="P167" s="13">
        <f t="shared" si="37"/>
        <v>6000</v>
      </c>
      <c r="Q167" s="13"/>
      <c r="R167" s="13"/>
      <c r="S167" s="13"/>
      <c r="T167" s="13"/>
      <c r="U167" s="317"/>
      <c r="V167" s="317"/>
    </row>
    <row r="168" spans="1:24" s="324" customFormat="1" ht="49.5" customHeight="1">
      <c r="A168" s="505">
        <v>7.15</v>
      </c>
      <c r="B168" s="350" t="s">
        <v>104</v>
      </c>
      <c r="C168" s="495" t="s">
        <v>1013</v>
      </c>
      <c r="D168" s="358" t="s">
        <v>445</v>
      </c>
      <c r="E168" s="358" t="s">
        <v>445</v>
      </c>
      <c r="F168" s="358" t="s">
        <v>445</v>
      </c>
      <c r="G168" s="358" t="s">
        <v>445</v>
      </c>
      <c r="H168" s="358" t="s">
        <v>445</v>
      </c>
      <c r="I168" s="358" t="s">
        <v>445</v>
      </c>
      <c r="J168" s="358" t="s">
        <v>445</v>
      </c>
      <c r="K168" s="130">
        <v>0</v>
      </c>
      <c r="L168" s="130">
        <v>0</v>
      </c>
      <c r="M168" s="130"/>
      <c r="N168" s="23">
        <v>3000</v>
      </c>
      <c r="O168" s="13">
        <f t="shared" ref="O168" si="38">L168+N168</f>
        <v>3000</v>
      </c>
      <c r="P168" s="13">
        <f t="shared" ref="P168" si="39">K168+O168</f>
        <v>3000</v>
      </c>
      <c r="Q168" s="13"/>
      <c r="R168" s="13"/>
      <c r="S168" s="13"/>
      <c r="T168" s="13"/>
      <c r="U168" s="317"/>
      <c r="V168" s="317"/>
    </row>
    <row r="169" spans="1:24" s="400" customFormat="1" ht="172.5">
      <c r="A169" s="505" t="s">
        <v>608</v>
      </c>
      <c r="B169" s="350" t="s">
        <v>46</v>
      </c>
      <c r="C169" s="495" t="s">
        <v>1029</v>
      </c>
      <c r="D169" s="319" t="s">
        <v>609</v>
      </c>
      <c r="E169" s="439" t="s">
        <v>610</v>
      </c>
      <c r="F169" s="319" t="s">
        <v>611</v>
      </c>
      <c r="G169" s="319" t="s">
        <v>612</v>
      </c>
      <c r="H169" s="319" t="s">
        <v>613</v>
      </c>
      <c r="I169" s="407"/>
      <c r="J169" s="407"/>
      <c r="K169" s="130">
        <v>0</v>
      </c>
      <c r="L169" s="130">
        <v>0</v>
      </c>
      <c r="M169" s="130"/>
      <c r="N169" s="23">
        <v>145400</v>
      </c>
      <c r="O169" s="13">
        <f t="shared" si="36"/>
        <v>145400</v>
      </c>
      <c r="P169" s="13">
        <f t="shared" si="37"/>
        <v>145400</v>
      </c>
      <c r="Q169" s="13"/>
      <c r="R169" s="13"/>
      <c r="S169" s="13"/>
      <c r="T169" s="13"/>
      <c r="U169" s="507"/>
      <c r="V169" s="317"/>
    </row>
    <row r="170" spans="1:24" s="400" customFormat="1" ht="189.75">
      <c r="A170" s="504" t="s">
        <v>614</v>
      </c>
      <c r="B170" s="350" t="s">
        <v>46</v>
      </c>
      <c r="C170" s="495" t="s">
        <v>855</v>
      </c>
      <c r="D170" s="402" t="s">
        <v>615</v>
      </c>
      <c r="E170" s="402" t="s">
        <v>616</v>
      </c>
      <c r="F170" s="402" t="s">
        <v>617</v>
      </c>
      <c r="G170" s="402" t="s">
        <v>618</v>
      </c>
      <c r="H170" s="402" t="s">
        <v>619</v>
      </c>
      <c r="I170" s="407"/>
      <c r="J170" s="407"/>
      <c r="K170" s="130">
        <v>0</v>
      </c>
      <c r="L170" s="130">
        <v>0</v>
      </c>
      <c r="M170" s="130"/>
      <c r="N170" s="23">
        <v>25000</v>
      </c>
      <c r="O170" s="13">
        <f t="shared" si="36"/>
        <v>25000</v>
      </c>
      <c r="P170" s="13">
        <f t="shared" si="37"/>
        <v>25000</v>
      </c>
      <c r="Q170" s="13"/>
      <c r="R170" s="13"/>
      <c r="S170" s="13"/>
      <c r="T170" s="13"/>
      <c r="U170" s="501"/>
      <c r="V170" s="317"/>
    </row>
    <row r="171" spans="1:24" s="400" customFormat="1" ht="86.25">
      <c r="A171" s="504" t="s">
        <v>620</v>
      </c>
      <c r="B171" s="347" t="s">
        <v>104</v>
      </c>
      <c r="C171" s="495" t="s">
        <v>1030</v>
      </c>
      <c r="D171" s="402" t="s">
        <v>621</v>
      </c>
      <c r="E171" s="402" t="s">
        <v>622</v>
      </c>
      <c r="F171" s="402" t="s">
        <v>623</v>
      </c>
      <c r="G171" s="402" t="s">
        <v>509</v>
      </c>
      <c r="H171" s="402" t="s">
        <v>461</v>
      </c>
      <c r="I171" s="407"/>
      <c r="J171" s="407"/>
      <c r="K171" s="130">
        <v>0</v>
      </c>
      <c r="L171" s="130">
        <v>0</v>
      </c>
      <c r="M171" s="130"/>
      <c r="N171" s="23">
        <v>25000</v>
      </c>
      <c r="O171" s="13">
        <f t="shared" si="36"/>
        <v>25000</v>
      </c>
      <c r="P171" s="13">
        <f t="shared" si="37"/>
        <v>25000</v>
      </c>
      <c r="Q171" s="13"/>
      <c r="R171" s="13"/>
      <c r="S171" s="13"/>
      <c r="T171" s="13"/>
      <c r="U171" s="317"/>
      <c r="V171" s="317"/>
    </row>
    <row r="172" spans="1:24" ht="172.5">
      <c r="A172" s="498" t="s">
        <v>624</v>
      </c>
      <c r="B172" s="350" t="s">
        <v>97</v>
      </c>
      <c r="C172" s="495" t="s">
        <v>856</v>
      </c>
      <c r="D172" s="374" t="s">
        <v>625</v>
      </c>
      <c r="E172" s="374" t="s">
        <v>626</v>
      </c>
      <c r="F172" s="402" t="s">
        <v>627</v>
      </c>
      <c r="G172" s="402" t="s">
        <v>120</v>
      </c>
      <c r="H172" s="402" t="s">
        <v>461</v>
      </c>
      <c r="I172" s="407" t="s">
        <v>628</v>
      </c>
      <c r="J172" s="407"/>
      <c r="K172" s="47">
        <v>0</v>
      </c>
      <c r="L172" s="47">
        <v>0</v>
      </c>
      <c r="M172" s="47"/>
      <c r="N172" s="33">
        <v>45000</v>
      </c>
      <c r="O172" s="28">
        <f t="shared" si="36"/>
        <v>45000</v>
      </c>
      <c r="P172" s="28">
        <f t="shared" si="37"/>
        <v>45000</v>
      </c>
      <c r="Q172" s="28"/>
      <c r="R172" s="28"/>
      <c r="S172" s="28"/>
      <c r="T172" s="28"/>
      <c r="U172" s="312"/>
      <c r="V172" s="313"/>
    </row>
    <row r="173" spans="1:24" s="373" customFormat="1" ht="34.5">
      <c r="A173" s="498" t="s">
        <v>629</v>
      </c>
      <c r="B173" s="347" t="s">
        <v>46</v>
      </c>
      <c r="C173" s="495" t="s">
        <v>1031</v>
      </c>
      <c r="D173" s="376" t="s">
        <v>445</v>
      </c>
      <c r="E173" s="376" t="s">
        <v>18</v>
      </c>
      <c r="F173" s="376" t="s">
        <v>18</v>
      </c>
      <c r="G173" s="376" t="s">
        <v>371</v>
      </c>
      <c r="H173" s="376" t="s">
        <v>371</v>
      </c>
      <c r="I173" s="376" t="s">
        <v>371</v>
      </c>
      <c r="J173" s="376" t="s">
        <v>371</v>
      </c>
      <c r="K173" s="47">
        <v>0</v>
      </c>
      <c r="L173" s="47">
        <v>0</v>
      </c>
      <c r="M173" s="47"/>
      <c r="N173" s="33">
        <v>22500</v>
      </c>
      <c r="O173" s="28">
        <f t="shared" si="36"/>
        <v>22500</v>
      </c>
      <c r="P173" s="28">
        <f t="shared" si="37"/>
        <v>22500</v>
      </c>
      <c r="Q173" s="28"/>
      <c r="R173" s="28"/>
      <c r="S173" s="28"/>
      <c r="T173" s="28"/>
      <c r="U173" s="356"/>
      <c r="V173" s="356"/>
    </row>
    <row r="174" spans="1:24" s="324" customFormat="1" ht="103.5">
      <c r="A174" s="498">
        <v>7.21</v>
      </c>
      <c r="B174" s="512" t="s">
        <v>36</v>
      </c>
      <c r="C174" s="495" t="s">
        <v>857</v>
      </c>
      <c r="D174" s="374" t="s">
        <v>637</v>
      </c>
      <c r="E174" s="374" t="s">
        <v>638</v>
      </c>
      <c r="F174" s="374" t="s">
        <v>639</v>
      </c>
      <c r="G174" s="374" t="s">
        <v>640</v>
      </c>
      <c r="H174" s="374" t="s">
        <v>641</v>
      </c>
      <c r="I174" s="374" t="s">
        <v>450</v>
      </c>
      <c r="J174" s="421" t="s">
        <v>451</v>
      </c>
      <c r="K174" s="130">
        <v>0</v>
      </c>
      <c r="L174" s="130">
        <v>0</v>
      </c>
      <c r="M174" s="130"/>
      <c r="N174" s="23">
        <v>12000</v>
      </c>
      <c r="O174" s="13">
        <f t="shared" ref="O174:O179" si="40">L174+N174</f>
        <v>12000</v>
      </c>
      <c r="P174" s="13">
        <f t="shared" ref="P174:P179" si="41">K174+O174</f>
        <v>12000</v>
      </c>
      <c r="Q174" s="13"/>
      <c r="R174" s="13"/>
      <c r="S174" s="13"/>
      <c r="T174" s="13"/>
      <c r="U174" s="312"/>
      <c r="V174" s="313"/>
    </row>
    <row r="175" spans="1:24" s="324" customFormat="1" ht="140.25" customHeight="1">
      <c r="A175" s="498">
        <v>7.22</v>
      </c>
      <c r="B175" s="512" t="s">
        <v>36</v>
      </c>
      <c r="C175" s="495" t="s">
        <v>858</v>
      </c>
      <c r="D175" s="374" t="s">
        <v>642</v>
      </c>
      <c r="E175" s="374" t="s">
        <v>643</v>
      </c>
      <c r="F175" s="374" t="s">
        <v>644</v>
      </c>
      <c r="G175" s="374">
        <v>5</v>
      </c>
      <c r="H175" s="374" t="s">
        <v>645</v>
      </c>
      <c r="I175" s="374" t="s">
        <v>450</v>
      </c>
      <c r="J175" s="421" t="s">
        <v>646</v>
      </c>
      <c r="K175" s="130">
        <v>0</v>
      </c>
      <c r="L175" s="130">
        <v>0</v>
      </c>
      <c r="M175" s="130"/>
      <c r="N175" s="23">
        <v>8000</v>
      </c>
      <c r="O175" s="13">
        <f t="shared" si="40"/>
        <v>8000</v>
      </c>
      <c r="P175" s="13">
        <f t="shared" si="41"/>
        <v>8000</v>
      </c>
      <c r="Q175" s="13"/>
      <c r="R175" s="28"/>
      <c r="S175" s="28"/>
      <c r="T175" s="28"/>
      <c r="U175" s="312"/>
      <c r="V175" s="313"/>
    </row>
    <row r="176" spans="1:24" s="324" customFormat="1" ht="197.25" customHeight="1">
      <c r="A176" s="498">
        <v>7.23</v>
      </c>
      <c r="B176" s="512" t="s">
        <v>36</v>
      </c>
      <c r="C176" s="495" t="s">
        <v>859</v>
      </c>
      <c r="D176" s="374" t="s">
        <v>647</v>
      </c>
      <c r="E176" s="374" t="s">
        <v>648</v>
      </c>
      <c r="F176" s="374" t="s">
        <v>649</v>
      </c>
      <c r="G176" s="374">
        <v>80</v>
      </c>
      <c r="H176" s="374" t="s">
        <v>461</v>
      </c>
      <c r="I176" s="374" t="s">
        <v>450</v>
      </c>
      <c r="J176" s="421" t="s">
        <v>650</v>
      </c>
      <c r="K176" s="130">
        <v>0</v>
      </c>
      <c r="L176" s="130">
        <v>0</v>
      </c>
      <c r="M176" s="130"/>
      <c r="N176" s="23">
        <v>6000</v>
      </c>
      <c r="O176" s="13">
        <f t="shared" si="40"/>
        <v>6000</v>
      </c>
      <c r="P176" s="13">
        <f t="shared" si="41"/>
        <v>6000</v>
      </c>
      <c r="Q176" s="13"/>
      <c r="R176" s="13"/>
      <c r="S176" s="13"/>
      <c r="T176" s="13"/>
      <c r="U176" s="317"/>
      <c r="V176" s="317"/>
    </row>
    <row r="177" spans="1:24" s="324" customFormat="1" ht="258.75">
      <c r="A177" s="503">
        <v>7.24</v>
      </c>
      <c r="B177" s="512" t="s">
        <v>667</v>
      </c>
      <c r="C177" s="495" t="s">
        <v>860</v>
      </c>
      <c r="D177" s="417" t="s">
        <v>668</v>
      </c>
      <c r="E177" s="417" t="s">
        <v>669</v>
      </c>
      <c r="F177" s="417" t="s">
        <v>668</v>
      </c>
      <c r="G177" s="417" t="s">
        <v>670</v>
      </c>
      <c r="H177" s="417" t="s">
        <v>671</v>
      </c>
      <c r="I177" s="441" t="s">
        <v>672</v>
      </c>
      <c r="J177" s="338"/>
      <c r="K177" s="106">
        <v>0</v>
      </c>
      <c r="L177" s="106">
        <v>0</v>
      </c>
      <c r="M177" s="106"/>
      <c r="N177" s="23">
        <v>9000</v>
      </c>
      <c r="O177" s="13">
        <f t="shared" si="40"/>
        <v>9000</v>
      </c>
      <c r="P177" s="13">
        <f t="shared" si="41"/>
        <v>9000</v>
      </c>
      <c r="Q177" s="13"/>
      <c r="R177" s="13"/>
      <c r="S177" s="13"/>
      <c r="T177" s="13"/>
      <c r="U177" s="509"/>
      <c r="V177" s="317"/>
    </row>
    <row r="178" spans="1:24" s="324" customFormat="1" ht="162.75" customHeight="1">
      <c r="A178" s="503">
        <v>7.25</v>
      </c>
      <c r="B178" s="512" t="s">
        <v>59</v>
      </c>
      <c r="C178" s="495" t="s">
        <v>1032</v>
      </c>
      <c r="D178" s="442" t="s">
        <v>673</v>
      </c>
      <c r="E178" s="443" t="s">
        <v>674</v>
      </c>
      <c r="F178" s="320" t="s">
        <v>789</v>
      </c>
      <c r="G178" s="320" t="s">
        <v>675</v>
      </c>
      <c r="H178" s="320" t="s">
        <v>676</v>
      </c>
      <c r="I178" s="320" t="s">
        <v>677</v>
      </c>
      <c r="J178" s="333"/>
      <c r="K178" s="130">
        <v>0</v>
      </c>
      <c r="L178" s="130">
        <v>0</v>
      </c>
      <c r="M178" s="130"/>
      <c r="N178" s="513">
        <v>12000</v>
      </c>
      <c r="O178" s="13">
        <f t="shared" si="40"/>
        <v>12000</v>
      </c>
      <c r="P178" s="13">
        <f t="shared" si="41"/>
        <v>12000</v>
      </c>
      <c r="Q178" s="13"/>
      <c r="R178" s="13"/>
      <c r="S178" s="13"/>
      <c r="T178" s="13"/>
      <c r="U178" s="16"/>
      <c r="V178" s="317"/>
    </row>
    <row r="179" spans="1:24" s="373" customFormat="1" ht="258.75">
      <c r="A179" s="503">
        <v>7.26</v>
      </c>
      <c r="B179" s="512" t="s">
        <v>63</v>
      </c>
      <c r="C179" s="495" t="s">
        <v>861</v>
      </c>
      <c r="D179" s="398" t="s">
        <v>711</v>
      </c>
      <c r="E179" s="445" t="s">
        <v>712</v>
      </c>
      <c r="F179" s="398" t="s">
        <v>713</v>
      </c>
      <c r="G179" s="446" t="s">
        <v>714</v>
      </c>
      <c r="H179" s="357" t="s">
        <v>715</v>
      </c>
      <c r="I179" s="357" t="s">
        <v>552</v>
      </c>
      <c r="J179" s="358" t="s">
        <v>445</v>
      </c>
      <c r="K179" s="47">
        <v>0</v>
      </c>
      <c r="L179" s="47">
        <v>0</v>
      </c>
      <c r="M179" s="47"/>
      <c r="N179" s="62">
        <v>12000</v>
      </c>
      <c r="O179" s="28">
        <f t="shared" si="40"/>
        <v>12000</v>
      </c>
      <c r="P179" s="28">
        <f t="shared" si="41"/>
        <v>12000</v>
      </c>
      <c r="Q179" s="27"/>
      <c r="R179" s="27"/>
      <c r="S179" s="27"/>
      <c r="T179" s="27"/>
      <c r="U179" s="27"/>
      <c r="V179" s="28"/>
    </row>
    <row r="180" spans="1:24" s="373" customFormat="1" ht="98.25" customHeight="1">
      <c r="A180" s="503" t="s">
        <v>653</v>
      </c>
      <c r="B180" s="512" t="s">
        <v>47</v>
      </c>
      <c r="C180" s="495" t="s">
        <v>862</v>
      </c>
      <c r="D180" s="358" t="s">
        <v>445</v>
      </c>
      <c r="E180" s="358" t="s">
        <v>445</v>
      </c>
      <c r="F180" s="358" t="s">
        <v>445</v>
      </c>
      <c r="G180" s="358" t="s">
        <v>445</v>
      </c>
      <c r="H180" s="358" t="s">
        <v>445</v>
      </c>
      <c r="I180" s="358" t="s">
        <v>445</v>
      </c>
      <c r="J180" s="358" t="s">
        <v>445</v>
      </c>
      <c r="K180" s="47">
        <v>0</v>
      </c>
      <c r="L180" s="47">
        <v>0</v>
      </c>
      <c r="M180" s="47"/>
      <c r="N180" s="72">
        <v>5000</v>
      </c>
      <c r="O180" s="28">
        <f t="shared" ref="O180" si="42">L180+N180</f>
        <v>5000</v>
      </c>
      <c r="P180" s="28">
        <f t="shared" ref="P180" si="43">K180+O180</f>
        <v>5000</v>
      </c>
      <c r="Q180" s="28"/>
      <c r="R180" s="28"/>
      <c r="S180" s="28"/>
      <c r="T180" s="28"/>
      <c r="U180" s="509"/>
      <c r="V180" s="313"/>
      <c r="W180" s="332"/>
    </row>
    <row r="181" spans="1:24" s="373" customFormat="1" ht="172.5">
      <c r="A181" s="503">
        <v>7.28</v>
      </c>
      <c r="B181" s="512" t="s">
        <v>14</v>
      </c>
      <c r="C181" s="495" t="s">
        <v>863</v>
      </c>
      <c r="D181" s="398" t="s">
        <v>678</v>
      </c>
      <c r="E181" s="402" t="s">
        <v>679</v>
      </c>
      <c r="F181" s="402" t="s">
        <v>680</v>
      </c>
      <c r="G181" s="402" t="s">
        <v>681</v>
      </c>
      <c r="H181" s="402" t="s">
        <v>682</v>
      </c>
      <c r="I181" s="402" t="s">
        <v>683</v>
      </c>
      <c r="J181" s="374" t="s">
        <v>511</v>
      </c>
      <c r="K181" s="47">
        <v>0</v>
      </c>
      <c r="L181" s="47">
        <v>0</v>
      </c>
      <c r="M181" s="47"/>
      <c r="N181" s="72">
        <v>15450</v>
      </c>
      <c r="O181" s="28">
        <f t="shared" ref="O181" si="44">L181+N181</f>
        <v>15450</v>
      </c>
      <c r="P181" s="28">
        <f t="shared" ref="P181" si="45">K181+O181</f>
        <v>15450</v>
      </c>
      <c r="Q181" s="28"/>
      <c r="R181" s="28"/>
      <c r="S181" s="28"/>
      <c r="T181" s="28"/>
      <c r="U181" s="509"/>
      <c r="V181" s="313"/>
      <c r="W181" s="332"/>
    </row>
    <row r="182" spans="1:24" s="373" customFormat="1" ht="409.5">
      <c r="A182" s="514">
        <v>7.29</v>
      </c>
      <c r="B182" s="350" t="s">
        <v>14</v>
      </c>
      <c r="C182" s="495" t="s">
        <v>1033</v>
      </c>
      <c r="D182" s="444" t="s">
        <v>706</v>
      </c>
      <c r="E182" s="444" t="s">
        <v>707</v>
      </c>
      <c r="F182" s="444" t="s">
        <v>708</v>
      </c>
      <c r="G182" s="444" t="s">
        <v>709</v>
      </c>
      <c r="H182" s="444" t="s">
        <v>710</v>
      </c>
      <c r="I182" s="444" t="s">
        <v>450</v>
      </c>
      <c r="J182" s="407"/>
      <c r="K182" s="47">
        <v>0</v>
      </c>
      <c r="L182" s="47">
        <v>0</v>
      </c>
      <c r="M182" s="47"/>
      <c r="N182" s="33">
        <v>8950</v>
      </c>
      <c r="O182" s="28">
        <f>L182+N182</f>
        <v>8950</v>
      </c>
      <c r="P182" s="28">
        <f>K182+O182</f>
        <v>8950</v>
      </c>
      <c r="Q182" s="28"/>
      <c r="R182" s="28"/>
      <c r="S182" s="28"/>
      <c r="T182" s="28"/>
      <c r="U182" s="515"/>
      <c r="V182" s="330"/>
    </row>
    <row r="183" spans="1:24" s="373" customFormat="1" ht="103.5">
      <c r="A183" s="516">
        <v>7.3</v>
      </c>
      <c r="B183" s="350" t="s">
        <v>14</v>
      </c>
      <c r="C183" s="495" t="s">
        <v>1034</v>
      </c>
      <c r="D183" s="358" t="s">
        <v>445</v>
      </c>
      <c r="E183" s="358" t="s">
        <v>445</v>
      </c>
      <c r="F183" s="358" t="s">
        <v>445</v>
      </c>
      <c r="G183" s="358" t="s">
        <v>445</v>
      </c>
      <c r="H183" s="358" t="s">
        <v>445</v>
      </c>
      <c r="I183" s="358" t="s">
        <v>445</v>
      </c>
      <c r="J183" s="358" t="s">
        <v>445</v>
      </c>
      <c r="K183" s="47">
        <v>0</v>
      </c>
      <c r="L183" s="47">
        <v>0</v>
      </c>
      <c r="M183" s="47">
        <v>0</v>
      </c>
      <c r="N183" s="72">
        <v>0</v>
      </c>
      <c r="O183" s="28">
        <f t="shared" ref="O183" si="46">L183+N183</f>
        <v>0</v>
      </c>
      <c r="P183" s="28">
        <f t="shared" ref="P183" si="47">K183+O183</f>
        <v>0</v>
      </c>
      <c r="Q183" s="28"/>
      <c r="R183" s="28"/>
      <c r="S183" s="28"/>
      <c r="T183" s="28"/>
      <c r="U183" s="509"/>
      <c r="V183" s="313"/>
      <c r="W183" s="332"/>
    </row>
    <row r="184" spans="1:24" s="373" customFormat="1" ht="126" customHeight="1">
      <c r="A184" s="516">
        <v>7.31</v>
      </c>
      <c r="B184" s="350" t="s">
        <v>14</v>
      </c>
      <c r="C184" s="495" t="s">
        <v>1035</v>
      </c>
      <c r="D184" s="358" t="s">
        <v>445</v>
      </c>
      <c r="E184" s="358" t="s">
        <v>445</v>
      </c>
      <c r="F184" s="358" t="s">
        <v>445</v>
      </c>
      <c r="G184" s="358" t="s">
        <v>445</v>
      </c>
      <c r="H184" s="358" t="s">
        <v>445</v>
      </c>
      <c r="I184" s="358" t="s">
        <v>445</v>
      </c>
      <c r="J184" s="358" t="s">
        <v>445</v>
      </c>
      <c r="K184" s="47">
        <v>0</v>
      </c>
      <c r="L184" s="47">
        <v>0</v>
      </c>
      <c r="M184" s="47">
        <v>0</v>
      </c>
      <c r="N184" s="72">
        <v>0</v>
      </c>
      <c r="O184" s="28">
        <f t="shared" ref="O184" si="48">L184+N184</f>
        <v>0</v>
      </c>
      <c r="P184" s="28">
        <f t="shared" ref="P184" si="49">K184+O184</f>
        <v>0</v>
      </c>
      <c r="Q184" s="28"/>
      <c r="R184" s="28"/>
      <c r="S184" s="28"/>
      <c r="T184" s="28"/>
      <c r="U184" s="509"/>
      <c r="V184" s="313"/>
      <c r="W184" s="332"/>
    </row>
    <row r="185" spans="1:24" s="373" customFormat="1" ht="159" customHeight="1">
      <c r="A185" s="516">
        <v>7.32</v>
      </c>
      <c r="B185" s="350" t="s">
        <v>14</v>
      </c>
      <c r="C185" s="495" t="s">
        <v>1036</v>
      </c>
      <c r="D185" s="358" t="s">
        <v>445</v>
      </c>
      <c r="E185" s="358" t="s">
        <v>445</v>
      </c>
      <c r="F185" s="358" t="s">
        <v>445</v>
      </c>
      <c r="G185" s="358" t="s">
        <v>445</v>
      </c>
      <c r="H185" s="358" t="s">
        <v>445</v>
      </c>
      <c r="I185" s="358" t="s">
        <v>445</v>
      </c>
      <c r="J185" s="358" t="s">
        <v>445</v>
      </c>
      <c r="K185" s="47">
        <v>0</v>
      </c>
      <c r="L185" s="47">
        <v>0</v>
      </c>
      <c r="M185" s="47">
        <v>0</v>
      </c>
      <c r="N185" s="72">
        <v>0</v>
      </c>
      <c r="O185" s="28">
        <f t="shared" ref="O185" si="50">L185+N185</f>
        <v>0</v>
      </c>
      <c r="P185" s="28">
        <f t="shared" ref="P185" si="51">K185+O185</f>
        <v>0</v>
      </c>
      <c r="Q185" s="28"/>
      <c r="R185" s="28"/>
      <c r="S185" s="28"/>
      <c r="T185" s="28"/>
      <c r="U185" s="509"/>
      <c r="V185" s="313"/>
      <c r="W185" s="332"/>
    </row>
    <row r="186" spans="1:24" s="373" customFormat="1" ht="95.25" customHeight="1">
      <c r="A186" s="516">
        <v>7.33</v>
      </c>
      <c r="B186" s="350" t="s">
        <v>23</v>
      </c>
      <c r="C186" s="495" t="s">
        <v>1037</v>
      </c>
      <c r="D186" s="358" t="s">
        <v>445</v>
      </c>
      <c r="E186" s="358" t="s">
        <v>445</v>
      </c>
      <c r="F186" s="358" t="s">
        <v>445</v>
      </c>
      <c r="G186" s="358" t="s">
        <v>445</v>
      </c>
      <c r="H186" s="358" t="s">
        <v>445</v>
      </c>
      <c r="I186" s="358" t="s">
        <v>445</v>
      </c>
      <c r="J186" s="358" t="s">
        <v>445</v>
      </c>
      <c r="K186" s="47">
        <v>0</v>
      </c>
      <c r="L186" s="47">
        <v>0</v>
      </c>
      <c r="M186" s="47"/>
      <c r="N186" s="72">
        <v>6000</v>
      </c>
      <c r="O186" s="28">
        <f t="shared" ref="O186:O196" si="52">L186+N186</f>
        <v>6000</v>
      </c>
      <c r="P186" s="28">
        <f t="shared" ref="P186:P196" si="53">K186+O186</f>
        <v>6000</v>
      </c>
      <c r="Q186" s="28"/>
      <c r="R186" s="28"/>
      <c r="S186" s="28"/>
      <c r="T186" s="28"/>
      <c r="U186" s="509"/>
      <c r="V186" s="313"/>
    </row>
    <row r="187" spans="1:24" s="373" customFormat="1" ht="80.25" customHeight="1">
      <c r="A187" s="516">
        <v>7.34</v>
      </c>
      <c r="B187" s="518" t="s">
        <v>184</v>
      </c>
      <c r="C187" s="495" t="s">
        <v>1038</v>
      </c>
      <c r="D187" s="358" t="s">
        <v>445</v>
      </c>
      <c r="E187" s="358" t="s">
        <v>445</v>
      </c>
      <c r="F187" s="358" t="s">
        <v>445</v>
      </c>
      <c r="G187" s="358" t="s">
        <v>445</v>
      </c>
      <c r="H187" s="358" t="s">
        <v>445</v>
      </c>
      <c r="I187" s="358" t="s">
        <v>445</v>
      </c>
      <c r="J187" s="358" t="s">
        <v>445</v>
      </c>
      <c r="K187" s="47">
        <v>0</v>
      </c>
      <c r="L187" s="47">
        <v>0</v>
      </c>
      <c r="M187" s="47"/>
      <c r="N187" s="72">
        <v>9000</v>
      </c>
      <c r="O187" s="28">
        <f t="shared" si="52"/>
        <v>9000</v>
      </c>
      <c r="P187" s="28">
        <f t="shared" si="53"/>
        <v>9000</v>
      </c>
      <c r="Q187" s="28"/>
      <c r="R187" s="28"/>
      <c r="S187" s="28"/>
      <c r="T187" s="28"/>
      <c r="U187" s="519"/>
      <c r="V187" s="313"/>
    </row>
    <row r="188" spans="1:24" ht="241.5">
      <c r="A188" s="516">
        <v>7.35</v>
      </c>
      <c r="B188" s="518" t="s">
        <v>23</v>
      </c>
      <c r="C188" s="495" t="s">
        <v>864</v>
      </c>
      <c r="D188" s="417" t="s">
        <v>661</v>
      </c>
      <c r="E188" s="417" t="s">
        <v>662</v>
      </c>
      <c r="F188" s="417" t="s">
        <v>663</v>
      </c>
      <c r="G188" s="417" t="s">
        <v>664</v>
      </c>
      <c r="H188" s="417" t="s">
        <v>665</v>
      </c>
      <c r="I188" s="417" t="s">
        <v>666</v>
      </c>
      <c r="J188" s="417" t="s">
        <v>660</v>
      </c>
      <c r="K188" s="47">
        <v>0</v>
      </c>
      <c r="L188" s="47">
        <v>0</v>
      </c>
      <c r="M188" s="47"/>
      <c r="N188" s="33">
        <v>15000</v>
      </c>
      <c r="O188" s="28">
        <f t="shared" si="52"/>
        <v>15000</v>
      </c>
      <c r="P188" s="28">
        <f t="shared" si="53"/>
        <v>15000</v>
      </c>
      <c r="Q188" s="314"/>
      <c r="R188" s="28"/>
      <c r="S188" s="28"/>
      <c r="T188" s="28"/>
      <c r="U188" s="356"/>
      <c r="V188" s="313"/>
      <c r="W188" s="314"/>
    </row>
    <row r="189" spans="1:24" s="373" customFormat="1" ht="409.5">
      <c r="A189" s="516">
        <v>7.36</v>
      </c>
      <c r="B189" s="518" t="s">
        <v>63</v>
      </c>
      <c r="C189" s="495" t="s">
        <v>865</v>
      </c>
      <c r="D189" s="398" t="s">
        <v>716</v>
      </c>
      <c r="E189" s="447" t="s">
        <v>717</v>
      </c>
      <c r="F189" s="398" t="s">
        <v>718</v>
      </c>
      <c r="G189" s="446" t="s">
        <v>719</v>
      </c>
      <c r="H189" s="446" t="s">
        <v>720</v>
      </c>
      <c r="I189" s="357" t="s">
        <v>552</v>
      </c>
      <c r="J189" s="358" t="s">
        <v>445</v>
      </c>
      <c r="K189" s="47">
        <v>0</v>
      </c>
      <c r="L189" s="47">
        <v>0</v>
      </c>
      <c r="M189" s="47"/>
      <c r="N189" s="33">
        <v>99000</v>
      </c>
      <c r="O189" s="28">
        <f t="shared" si="52"/>
        <v>99000</v>
      </c>
      <c r="P189" s="28">
        <f t="shared" si="53"/>
        <v>99000</v>
      </c>
      <c r="Q189" s="27"/>
      <c r="R189" s="313"/>
      <c r="S189" s="27"/>
      <c r="T189" s="27"/>
      <c r="U189" s="27"/>
      <c r="V189" s="28"/>
      <c r="W189" s="332"/>
      <c r="X189" s="332"/>
    </row>
    <row r="190" spans="1:24" s="373" customFormat="1" ht="131.25" customHeight="1">
      <c r="A190" s="516">
        <v>7.37</v>
      </c>
      <c r="B190" s="518" t="s">
        <v>105</v>
      </c>
      <c r="C190" s="495" t="s">
        <v>1039</v>
      </c>
      <c r="D190" s="358" t="s">
        <v>445</v>
      </c>
      <c r="E190" s="358" t="s">
        <v>445</v>
      </c>
      <c r="F190" s="358" t="s">
        <v>445</v>
      </c>
      <c r="G190" s="358" t="s">
        <v>445</v>
      </c>
      <c r="H190" s="358" t="s">
        <v>445</v>
      </c>
      <c r="I190" s="358" t="s">
        <v>445</v>
      </c>
      <c r="J190" s="358" t="s">
        <v>445</v>
      </c>
      <c r="K190" s="47">
        <v>0</v>
      </c>
      <c r="L190" s="47">
        <v>0</v>
      </c>
      <c r="M190" s="47"/>
      <c r="N190" s="72">
        <v>15000</v>
      </c>
      <c r="O190" s="28">
        <f t="shared" si="52"/>
        <v>15000</v>
      </c>
      <c r="P190" s="28">
        <f t="shared" si="53"/>
        <v>15000</v>
      </c>
      <c r="Q190" s="28"/>
      <c r="R190" s="28"/>
      <c r="S190" s="28"/>
      <c r="T190" s="28"/>
      <c r="U190" s="519"/>
      <c r="V190" s="313"/>
    </row>
    <row r="191" spans="1:24" s="373" customFormat="1" ht="96" customHeight="1">
      <c r="A191" s="516">
        <v>7.38</v>
      </c>
      <c r="B191" s="518" t="s">
        <v>105</v>
      </c>
      <c r="C191" s="495" t="s">
        <v>1040</v>
      </c>
      <c r="D191" s="358" t="s">
        <v>445</v>
      </c>
      <c r="E191" s="358" t="s">
        <v>445</v>
      </c>
      <c r="F191" s="358" t="s">
        <v>445</v>
      </c>
      <c r="G191" s="358" t="s">
        <v>445</v>
      </c>
      <c r="H191" s="358" t="s">
        <v>445</v>
      </c>
      <c r="I191" s="358" t="s">
        <v>445</v>
      </c>
      <c r="J191" s="358" t="s">
        <v>445</v>
      </c>
      <c r="K191" s="47">
        <v>0</v>
      </c>
      <c r="L191" s="47">
        <v>0</v>
      </c>
      <c r="M191" s="47"/>
      <c r="N191" s="72">
        <v>50000</v>
      </c>
      <c r="O191" s="28">
        <f t="shared" si="52"/>
        <v>50000</v>
      </c>
      <c r="P191" s="28">
        <f t="shared" si="53"/>
        <v>50000</v>
      </c>
      <c r="Q191" s="28"/>
      <c r="R191" s="28"/>
      <c r="S191" s="28"/>
      <c r="T191" s="28"/>
      <c r="U191" s="519"/>
      <c r="V191" s="313"/>
    </row>
    <row r="192" spans="1:24" ht="51.75">
      <c r="A192" s="516">
        <v>7.39</v>
      </c>
      <c r="B192" s="518" t="s">
        <v>105</v>
      </c>
      <c r="C192" s="495" t="s">
        <v>866</v>
      </c>
      <c r="D192" s="338" t="s">
        <v>732</v>
      </c>
      <c r="E192" s="338" t="s">
        <v>733</v>
      </c>
      <c r="F192" s="338" t="s">
        <v>734</v>
      </c>
      <c r="G192" s="403">
        <v>3</v>
      </c>
      <c r="H192" s="403" t="s">
        <v>715</v>
      </c>
      <c r="I192" s="338" t="s">
        <v>552</v>
      </c>
      <c r="J192" s="376" t="s">
        <v>445</v>
      </c>
      <c r="K192" s="47">
        <v>0</v>
      </c>
      <c r="L192" s="47">
        <v>0</v>
      </c>
      <c r="M192" s="47"/>
      <c r="N192" s="33">
        <v>4500</v>
      </c>
      <c r="O192" s="28">
        <f t="shared" si="52"/>
        <v>4500</v>
      </c>
      <c r="P192" s="28">
        <f t="shared" si="53"/>
        <v>4500</v>
      </c>
      <c r="Q192" s="28"/>
      <c r="R192" s="28"/>
      <c r="S192" s="28"/>
      <c r="T192" s="355"/>
      <c r="U192" s="344"/>
      <c r="V192" s="313"/>
    </row>
    <row r="193" spans="1:23" ht="115.5" customHeight="1">
      <c r="A193" s="516">
        <v>7.4</v>
      </c>
      <c r="B193" s="518" t="s">
        <v>105</v>
      </c>
      <c r="C193" s="495" t="s">
        <v>1041</v>
      </c>
      <c r="D193" s="358" t="s">
        <v>445</v>
      </c>
      <c r="E193" s="358" t="s">
        <v>445</v>
      </c>
      <c r="F193" s="358" t="s">
        <v>445</v>
      </c>
      <c r="G193" s="358" t="s">
        <v>445</v>
      </c>
      <c r="H193" s="358" t="s">
        <v>445</v>
      </c>
      <c r="I193" s="358" t="s">
        <v>445</v>
      </c>
      <c r="J193" s="358" t="s">
        <v>445</v>
      </c>
      <c r="K193" s="47">
        <v>0</v>
      </c>
      <c r="L193" s="47">
        <v>0</v>
      </c>
      <c r="M193" s="47"/>
      <c r="N193" s="33">
        <v>100000</v>
      </c>
      <c r="O193" s="28">
        <f t="shared" si="52"/>
        <v>100000</v>
      </c>
      <c r="P193" s="28">
        <f t="shared" si="53"/>
        <v>100000</v>
      </c>
      <c r="Q193" s="28"/>
      <c r="R193" s="28"/>
      <c r="S193" s="28"/>
      <c r="T193" s="355"/>
      <c r="U193" s="344"/>
      <c r="V193" s="313"/>
    </row>
    <row r="194" spans="1:23" ht="138">
      <c r="A194" s="516">
        <v>7.41</v>
      </c>
      <c r="B194" s="518" t="s">
        <v>105</v>
      </c>
      <c r="C194" s="495" t="s">
        <v>1042</v>
      </c>
      <c r="D194" s="338" t="s">
        <v>727</v>
      </c>
      <c r="E194" s="338" t="s">
        <v>728</v>
      </c>
      <c r="F194" s="338" t="s">
        <v>729</v>
      </c>
      <c r="G194" s="403" t="s">
        <v>730</v>
      </c>
      <c r="H194" s="403" t="s">
        <v>731</v>
      </c>
      <c r="I194" s="338" t="s">
        <v>552</v>
      </c>
      <c r="J194" s="376" t="s">
        <v>445</v>
      </c>
      <c r="K194" s="47">
        <v>0</v>
      </c>
      <c r="L194" s="47">
        <v>0</v>
      </c>
      <c r="M194" s="47"/>
      <c r="N194" s="33">
        <v>200000</v>
      </c>
      <c r="O194" s="28">
        <f t="shared" si="52"/>
        <v>200000</v>
      </c>
      <c r="P194" s="28">
        <f t="shared" si="53"/>
        <v>200000</v>
      </c>
      <c r="Q194" s="28"/>
      <c r="R194" s="28"/>
      <c r="S194" s="28"/>
      <c r="T194" s="28"/>
      <c r="U194" s="520"/>
      <c r="V194" s="342"/>
      <c r="W194" s="314"/>
    </row>
    <row r="195" spans="1:23" ht="80.25" customHeight="1">
      <c r="A195" s="516">
        <v>7.42</v>
      </c>
      <c r="B195" s="518" t="s">
        <v>105</v>
      </c>
      <c r="C195" s="495" t="s">
        <v>867</v>
      </c>
      <c r="D195" s="358" t="s">
        <v>445</v>
      </c>
      <c r="E195" s="358" t="s">
        <v>445</v>
      </c>
      <c r="F195" s="358" t="s">
        <v>445</v>
      </c>
      <c r="G195" s="358" t="s">
        <v>445</v>
      </c>
      <c r="H195" s="358" t="s">
        <v>445</v>
      </c>
      <c r="I195" s="358" t="s">
        <v>445</v>
      </c>
      <c r="J195" s="358" t="s">
        <v>445</v>
      </c>
      <c r="K195" s="47">
        <v>0</v>
      </c>
      <c r="L195" s="47">
        <v>0</v>
      </c>
      <c r="M195" s="47"/>
      <c r="N195" s="33">
        <v>0</v>
      </c>
      <c r="O195" s="28">
        <f t="shared" si="52"/>
        <v>0</v>
      </c>
      <c r="P195" s="28">
        <f t="shared" si="53"/>
        <v>0</v>
      </c>
      <c r="Q195" s="28"/>
      <c r="R195" s="28"/>
      <c r="S195" s="28"/>
      <c r="T195" s="355"/>
      <c r="U195" s="344"/>
      <c r="V195" s="313"/>
    </row>
    <row r="196" spans="1:23" ht="252">
      <c r="A196" s="516">
        <v>7.43</v>
      </c>
      <c r="B196" s="518" t="s">
        <v>105</v>
      </c>
      <c r="C196" s="495" t="s">
        <v>1043</v>
      </c>
      <c r="D196" s="338" t="s">
        <v>902</v>
      </c>
      <c r="E196" s="440" t="s">
        <v>724</v>
      </c>
      <c r="F196" s="338" t="s">
        <v>725</v>
      </c>
      <c r="G196" s="403">
        <v>3</v>
      </c>
      <c r="H196" s="403" t="s">
        <v>726</v>
      </c>
      <c r="I196" s="338" t="s">
        <v>552</v>
      </c>
      <c r="J196" s="358" t="s">
        <v>445</v>
      </c>
      <c r="K196" s="47">
        <v>0</v>
      </c>
      <c r="L196" s="47">
        <v>0</v>
      </c>
      <c r="M196" s="47"/>
      <c r="N196" s="33">
        <v>63700</v>
      </c>
      <c r="O196" s="28">
        <f t="shared" si="52"/>
        <v>63700</v>
      </c>
      <c r="P196" s="28">
        <f t="shared" si="53"/>
        <v>63700</v>
      </c>
      <c r="Q196" s="28"/>
      <c r="R196" s="28"/>
      <c r="S196" s="28"/>
      <c r="T196" s="355"/>
      <c r="U196" s="344"/>
      <c r="V196" s="313"/>
    </row>
    <row r="197" spans="1:23" ht="207">
      <c r="A197" s="516">
        <v>7.44</v>
      </c>
      <c r="B197" s="518" t="s">
        <v>105</v>
      </c>
      <c r="C197" s="495" t="s">
        <v>1044</v>
      </c>
      <c r="D197" s="374" t="s">
        <v>630</v>
      </c>
      <c r="E197" s="374" t="s">
        <v>631</v>
      </c>
      <c r="F197" s="374" t="s">
        <v>632</v>
      </c>
      <c r="G197" s="421" t="s">
        <v>633</v>
      </c>
      <c r="H197" s="421" t="s">
        <v>634</v>
      </c>
      <c r="I197" s="374" t="s">
        <v>635</v>
      </c>
      <c r="J197" s="374" t="s">
        <v>636</v>
      </c>
      <c r="K197" s="47">
        <v>0</v>
      </c>
      <c r="L197" s="47">
        <v>0</v>
      </c>
      <c r="M197" s="47"/>
      <c r="N197" s="33">
        <v>10000</v>
      </c>
      <c r="O197" s="28">
        <f t="shared" si="36"/>
        <v>10000</v>
      </c>
      <c r="P197" s="28">
        <f t="shared" si="37"/>
        <v>10000</v>
      </c>
      <c r="Q197" s="28"/>
      <c r="R197" s="28"/>
      <c r="S197" s="28"/>
      <c r="T197" s="28"/>
      <c r="U197" s="313"/>
      <c r="V197" s="313"/>
    </row>
    <row r="198" spans="1:23" ht="97.5" customHeight="1">
      <c r="A198" s="516">
        <v>7.45</v>
      </c>
      <c r="B198" s="518" t="s">
        <v>105</v>
      </c>
      <c r="C198" s="495" t="s">
        <v>1045</v>
      </c>
      <c r="D198" s="358" t="s">
        <v>445</v>
      </c>
      <c r="E198" s="358" t="s">
        <v>445</v>
      </c>
      <c r="F198" s="358" t="s">
        <v>445</v>
      </c>
      <c r="G198" s="358" t="s">
        <v>445</v>
      </c>
      <c r="H198" s="358" t="s">
        <v>445</v>
      </c>
      <c r="I198" s="358" t="s">
        <v>445</v>
      </c>
      <c r="J198" s="358" t="s">
        <v>445</v>
      </c>
      <c r="K198" s="47">
        <v>0</v>
      </c>
      <c r="L198" s="47">
        <v>0</v>
      </c>
      <c r="M198" s="47"/>
      <c r="N198" s="33">
        <v>10000</v>
      </c>
      <c r="O198" s="28">
        <f>L198+N198</f>
        <v>10000</v>
      </c>
      <c r="P198" s="28">
        <f t="shared" ref="P198:P209" si="54">K198+O198</f>
        <v>10000</v>
      </c>
      <c r="Q198" s="28"/>
      <c r="R198" s="28"/>
      <c r="S198" s="28"/>
      <c r="T198" s="355"/>
      <c r="U198" s="344"/>
      <c r="V198" s="313"/>
    </row>
    <row r="199" spans="1:23" ht="60.75" customHeight="1">
      <c r="A199" s="516">
        <v>7.46</v>
      </c>
      <c r="B199" s="518" t="s">
        <v>105</v>
      </c>
      <c r="C199" s="495" t="s">
        <v>868</v>
      </c>
      <c r="D199" s="358" t="s">
        <v>445</v>
      </c>
      <c r="E199" s="358" t="s">
        <v>445</v>
      </c>
      <c r="F199" s="358" t="s">
        <v>445</v>
      </c>
      <c r="G199" s="358" t="s">
        <v>445</v>
      </c>
      <c r="H199" s="358" t="s">
        <v>445</v>
      </c>
      <c r="I199" s="358" t="s">
        <v>445</v>
      </c>
      <c r="J199" s="358" t="s">
        <v>445</v>
      </c>
      <c r="K199" s="47">
        <v>0</v>
      </c>
      <c r="L199" s="47">
        <v>0</v>
      </c>
      <c r="M199" s="47"/>
      <c r="N199" s="33">
        <v>120000</v>
      </c>
      <c r="O199" s="28">
        <f>L199+N199</f>
        <v>120000</v>
      </c>
      <c r="P199" s="28">
        <f t="shared" si="54"/>
        <v>120000</v>
      </c>
      <c r="Q199" s="28"/>
      <c r="R199" s="28"/>
      <c r="S199" s="28"/>
      <c r="T199" s="355"/>
      <c r="U199" s="344"/>
      <c r="V199" s="313"/>
    </row>
    <row r="200" spans="1:23" s="373" customFormat="1" ht="130.5" customHeight="1">
      <c r="A200" s="361">
        <v>8</v>
      </c>
      <c r="B200" s="362" t="s">
        <v>16</v>
      </c>
      <c r="C200" s="362" t="s">
        <v>869</v>
      </c>
      <c r="D200" s="428"/>
      <c r="E200" s="428"/>
      <c r="F200" s="428"/>
      <c r="G200" s="428"/>
      <c r="H200" s="428"/>
      <c r="I200" s="428"/>
      <c r="J200" s="428"/>
      <c r="K200" s="10">
        <f>SUM(K201:K216)</f>
        <v>0</v>
      </c>
      <c r="L200" s="10">
        <f>SUM(L201:L216)</f>
        <v>0</v>
      </c>
      <c r="M200" s="10">
        <f>SUM(M201:M216)</f>
        <v>0</v>
      </c>
      <c r="N200" s="10">
        <f>N201+N202+N203+N204+N205+N206+N207+N208+N209+N214+N215+N216</f>
        <v>8255000</v>
      </c>
      <c r="O200" s="28">
        <f>L200+M200+N200</f>
        <v>8255000</v>
      </c>
      <c r="P200" s="10">
        <f t="shared" si="54"/>
        <v>8255000</v>
      </c>
      <c r="Q200" s="10" t="s">
        <v>18</v>
      </c>
      <c r="R200" s="10"/>
      <c r="S200" s="10"/>
      <c r="T200" s="10"/>
      <c r="U200" s="363"/>
      <c r="V200" s="363"/>
    </row>
    <row r="201" spans="1:23" s="341" customFormat="1" ht="138">
      <c r="A201" s="524">
        <v>8.1</v>
      </c>
      <c r="B201" s="518" t="s">
        <v>104</v>
      </c>
      <c r="C201" s="495" t="s">
        <v>1046</v>
      </c>
      <c r="D201" s="521" t="s">
        <v>870</v>
      </c>
      <c r="E201" s="521" t="s">
        <v>872</v>
      </c>
      <c r="F201" s="312" t="s">
        <v>871</v>
      </c>
      <c r="G201" s="522">
        <v>80</v>
      </c>
      <c r="H201" s="312" t="s">
        <v>461</v>
      </c>
      <c r="I201" s="312"/>
      <c r="J201" s="312"/>
      <c r="K201" s="23">
        <v>0</v>
      </c>
      <c r="L201" s="23">
        <v>0</v>
      </c>
      <c r="M201" s="23"/>
      <c r="N201" s="23">
        <v>300000</v>
      </c>
      <c r="O201" s="23">
        <f t="shared" ref="O201:O209" si="55">L201+N201</f>
        <v>300000</v>
      </c>
      <c r="P201" s="23">
        <f t="shared" si="54"/>
        <v>300000</v>
      </c>
      <c r="Q201" s="16"/>
      <c r="R201" s="16"/>
      <c r="S201" s="16"/>
      <c r="T201" s="16"/>
      <c r="U201" s="356"/>
      <c r="V201" s="356"/>
      <c r="W201" s="523"/>
    </row>
    <row r="202" spans="1:23" s="341" customFormat="1" ht="86.25">
      <c r="A202" s="524">
        <v>8.1999999999999993</v>
      </c>
      <c r="B202" s="518" t="s">
        <v>104</v>
      </c>
      <c r="C202" s="495" t="s">
        <v>873</v>
      </c>
      <c r="D202" s="312" t="s">
        <v>775</v>
      </c>
      <c r="E202" s="312" t="s">
        <v>776</v>
      </c>
      <c r="F202" s="312" t="s">
        <v>777</v>
      </c>
      <c r="G202" s="522">
        <v>100</v>
      </c>
      <c r="H202" s="312" t="s">
        <v>461</v>
      </c>
      <c r="I202" s="312" t="s">
        <v>450</v>
      </c>
      <c r="J202" s="312" t="s">
        <v>774</v>
      </c>
      <c r="K202" s="113">
        <v>0</v>
      </c>
      <c r="L202" s="113">
        <v>0</v>
      </c>
      <c r="M202" s="113"/>
      <c r="N202" s="23">
        <v>300000</v>
      </c>
      <c r="O202" s="23">
        <f t="shared" si="55"/>
        <v>300000</v>
      </c>
      <c r="P202" s="23">
        <f t="shared" si="54"/>
        <v>300000</v>
      </c>
      <c r="Q202" s="23"/>
      <c r="R202" s="23"/>
      <c r="S202" s="23"/>
      <c r="T202" s="23"/>
      <c r="U202" s="317"/>
      <c r="V202" s="525"/>
    </row>
    <row r="203" spans="1:23" s="341" customFormat="1" ht="120.75">
      <c r="A203" s="524">
        <v>8.3000000000000007</v>
      </c>
      <c r="B203" s="350" t="s">
        <v>97</v>
      </c>
      <c r="C203" s="495" t="s">
        <v>874</v>
      </c>
      <c r="D203" s="326" t="s">
        <v>781</v>
      </c>
      <c r="E203" s="326" t="s">
        <v>782</v>
      </c>
      <c r="F203" s="326" t="s">
        <v>783</v>
      </c>
      <c r="G203" s="502">
        <v>2</v>
      </c>
      <c r="H203" s="326" t="s">
        <v>784</v>
      </c>
      <c r="I203" s="326" t="s">
        <v>552</v>
      </c>
      <c r="J203" s="526"/>
      <c r="K203" s="113">
        <v>0</v>
      </c>
      <c r="L203" s="113">
        <v>0</v>
      </c>
      <c r="M203" s="113"/>
      <c r="N203" s="23">
        <f>120000*6</f>
        <v>720000</v>
      </c>
      <c r="O203" s="23">
        <f t="shared" si="55"/>
        <v>720000</v>
      </c>
      <c r="P203" s="23">
        <f t="shared" si="54"/>
        <v>720000</v>
      </c>
      <c r="Q203" s="23"/>
      <c r="R203" s="23"/>
      <c r="S203" s="23"/>
      <c r="T203" s="23"/>
      <c r="U203" s="525"/>
      <c r="V203" s="525"/>
    </row>
    <row r="204" spans="1:23" s="341" customFormat="1" ht="138">
      <c r="A204" s="524">
        <v>8.4</v>
      </c>
      <c r="B204" s="518" t="s">
        <v>23</v>
      </c>
      <c r="C204" s="495" t="s">
        <v>1047</v>
      </c>
      <c r="D204" s="521" t="s">
        <v>875</v>
      </c>
      <c r="E204" s="521" t="s">
        <v>876</v>
      </c>
      <c r="F204" s="312" t="s">
        <v>877</v>
      </c>
      <c r="G204" s="522">
        <v>80</v>
      </c>
      <c r="H204" s="312" t="s">
        <v>461</v>
      </c>
      <c r="I204" s="312"/>
      <c r="J204" s="312"/>
      <c r="K204" s="23">
        <v>0</v>
      </c>
      <c r="L204" s="23">
        <v>0</v>
      </c>
      <c r="M204" s="23"/>
      <c r="N204" s="23">
        <v>500000</v>
      </c>
      <c r="O204" s="23">
        <f t="shared" si="55"/>
        <v>500000</v>
      </c>
      <c r="P204" s="23">
        <f t="shared" si="54"/>
        <v>500000</v>
      </c>
      <c r="Q204" s="16"/>
      <c r="R204" s="16"/>
      <c r="S204" s="16"/>
      <c r="T204" s="16"/>
      <c r="U204" s="356"/>
      <c r="V204" s="356"/>
      <c r="W204" s="523"/>
    </row>
    <row r="205" spans="1:23" ht="75" customHeight="1">
      <c r="A205" s="524">
        <v>8.5</v>
      </c>
      <c r="B205" s="518" t="s">
        <v>23</v>
      </c>
      <c r="C205" s="495" t="s">
        <v>878</v>
      </c>
      <c r="D205" s="376" t="s">
        <v>445</v>
      </c>
      <c r="E205" s="376" t="s">
        <v>445</v>
      </c>
      <c r="F205" s="376" t="s">
        <v>445</v>
      </c>
      <c r="G205" s="376" t="s">
        <v>445</v>
      </c>
      <c r="H205" s="376" t="s">
        <v>445</v>
      </c>
      <c r="I205" s="376" t="s">
        <v>445</v>
      </c>
      <c r="J205" s="376" t="s">
        <v>445</v>
      </c>
      <c r="K205" s="23">
        <v>0</v>
      </c>
      <c r="L205" s="23">
        <v>0</v>
      </c>
      <c r="M205" s="23"/>
      <c r="N205" s="23">
        <v>350000</v>
      </c>
      <c r="O205" s="23">
        <f t="shared" si="55"/>
        <v>350000</v>
      </c>
      <c r="P205" s="23">
        <f t="shared" si="54"/>
        <v>350000</v>
      </c>
      <c r="Q205" s="16"/>
      <c r="R205" s="16"/>
      <c r="S205" s="16"/>
      <c r="T205" s="16"/>
      <c r="U205" s="356"/>
      <c r="V205" s="356"/>
    </row>
    <row r="206" spans="1:23" ht="64.5" customHeight="1">
      <c r="A206" s="524">
        <v>8.6</v>
      </c>
      <c r="B206" s="518" t="s">
        <v>104</v>
      </c>
      <c r="C206" s="495" t="s">
        <v>1048</v>
      </c>
      <c r="D206" s="376" t="s">
        <v>445</v>
      </c>
      <c r="E206" s="376" t="s">
        <v>445</v>
      </c>
      <c r="F206" s="376" t="s">
        <v>445</v>
      </c>
      <c r="G206" s="376" t="s">
        <v>445</v>
      </c>
      <c r="H206" s="376" t="s">
        <v>445</v>
      </c>
      <c r="I206" s="376" t="s">
        <v>445</v>
      </c>
      <c r="J206" s="376" t="s">
        <v>445</v>
      </c>
      <c r="K206" s="23">
        <v>0</v>
      </c>
      <c r="L206" s="23">
        <v>0</v>
      </c>
      <c r="M206" s="23"/>
      <c r="N206" s="23">
        <v>100000</v>
      </c>
      <c r="O206" s="23">
        <f t="shared" si="55"/>
        <v>100000</v>
      </c>
      <c r="P206" s="23">
        <f t="shared" si="54"/>
        <v>100000</v>
      </c>
      <c r="Q206" s="16"/>
      <c r="R206" s="16"/>
      <c r="S206" s="16"/>
      <c r="T206" s="16"/>
      <c r="U206" s="356"/>
      <c r="V206" s="356"/>
    </row>
    <row r="207" spans="1:23" s="314" customFormat="1" ht="120.75">
      <c r="A207" s="524">
        <v>8.6999999999999993</v>
      </c>
      <c r="B207" s="347" t="s">
        <v>105</v>
      </c>
      <c r="C207" s="495" t="s">
        <v>1049</v>
      </c>
      <c r="D207" s="312" t="s">
        <v>785</v>
      </c>
      <c r="E207" s="312" t="s">
        <v>786</v>
      </c>
      <c r="F207" s="312" t="s">
        <v>787</v>
      </c>
      <c r="G207" s="522">
        <v>1</v>
      </c>
      <c r="H207" s="522" t="s">
        <v>784</v>
      </c>
      <c r="I207" s="312" t="s">
        <v>552</v>
      </c>
      <c r="J207" s="527" t="s">
        <v>445</v>
      </c>
      <c r="K207" s="32">
        <v>0</v>
      </c>
      <c r="L207" s="32">
        <v>0</v>
      </c>
      <c r="M207" s="32"/>
      <c r="N207" s="33">
        <v>120000</v>
      </c>
      <c r="O207" s="33">
        <f t="shared" si="55"/>
        <v>120000</v>
      </c>
      <c r="P207" s="33">
        <f t="shared" si="54"/>
        <v>120000</v>
      </c>
      <c r="Q207" s="33"/>
      <c r="R207" s="28"/>
      <c r="S207" s="28"/>
      <c r="T207" s="28"/>
      <c r="U207" s="28"/>
      <c r="V207" s="528"/>
    </row>
    <row r="208" spans="1:23" ht="81" customHeight="1">
      <c r="A208" s="524">
        <v>8.8000000000000007</v>
      </c>
      <c r="B208" s="518" t="s">
        <v>97</v>
      </c>
      <c r="C208" s="495" t="s">
        <v>879</v>
      </c>
      <c r="D208" s="376" t="s">
        <v>445</v>
      </c>
      <c r="E208" s="376" t="s">
        <v>445</v>
      </c>
      <c r="F208" s="376" t="s">
        <v>445</v>
      </c>
      <c r="G208" s="376" t="s">
        <v>445</v>
      </c>
      <c r="H208" s="376" t="s">
        <v>445</v>
      </c>
      <c r="I208" s="376" t="s">
        <v>445</v>
      </c>
      <c r="J208" s="376" t="s">
        <v>445</v>
      </c>
      <c r="K208" s="23">
        <v>0</v>
      </c>
      <c r="L208" s="23">
        <v>0</v>
      </c>
      <c r="M208" s="23"/>
      <c r="N208" s="23">
        <v>940000</v>
      </c>
      <c r="O208" s="23">
        <f t="shared" si="55"/>
        <v>940000</v>
      </c>
      <c r="P208" s="23">
        <f t="shared" si="54"/>
        <v>940000</v>
      </c>
      <c r="Q208" s="16"/>
      <c r="R208" s="16"/>
      <c r="S208" s="16"/>
      <c r="T208" s="16"/>
      <c r="U208" s="356"/>
      <c r="V208" s="356"/>
    </row>
    <row r="209" spans="1:22" s="324" customFormat="1" ht="57" customHeight="1">
      <c r="A209" s="524">
        <v>8.9</v>
      </c>
      <c r="B209" s="518" t="s">
        <v>104</v>
      </c>
      <c r="C209" s="495" t="s">
        <v>880</v>
      </c>
      <c r="D209" s="374" t="s">
        <v>778</v>
      </c>
      <c r="E209" s="374" t="s">
        <v>779</v>
      </c>
      <c r="F209" s="374" t="s">
        <v>780</v>
      </c>
      <c r="G209" s="421">
        <v>80</v>
      </c>
      <c r="H209" s="374" t="s">
        <v>461</v>
      </c>
      <c r="I209" s="374"/>
      <c r="J209" s="374" t="s">
        <v>774</v>
      </c>
      <c r="K209" s="336">
        <v>0</v>
      </c>
      <c r="L209" s="336">
        <v>0</v>
      </c>
      <c r="M209" s="336"/>
      <c r="N209" s="337">
        <f>SUM(N210:N213)</f>
        <v>625000</v>
      </c>
      <c r="O209" s="337">
        <f t="shared" si="55"/>
        <v>625000</v>
      </c>
      <c r="P209" s="337">
        <f t="shared" si="54"/>
        <v>625000</v>
      </c>
      <c r="Q209" s="337"/>
      <c r="R209" s="337"/>
      <c r="S209" s="337"/>
      <c r="T209" s="337"/>
      <c r="U209" s="450"/>
      <c r="V209" s="451"/>
    </row>
    <row r="210" spans="1:22" ht="51.75">
      <c r="A210" s="517"/>
      <c r="B210" s="518"/>
      <c r="C210" s="493" t="s">
        <v>882</v>
      </c>
      <c r="D210" s="358"/>
      <c r="E210" s="358"/>
      <c r="F210" s="358"/>
      <c r="G210" s="358"/>
      <c r="H210" s="358"/>
      <c r="I210" s="358"/>
      <c r="J210" s="358"/>
      <c r="K210" s="47"/>
      <c r="L210" s="47"/>
      <c r="M210" s="47"/>
      <c r="N210" s="33">
        <v>150000</v>
      </c>
      <c r="O210" s="28"/>
      <c r="P210" s="28"/>
      <c r="Q210" s="28"/>
      <c r="R210" s="28"/>
      <c r="S210" s="28"/>
      <c r="T210" s="355"/>
      <c r="U210" s="344"/>
      <c r="V210" s="313"/>
    </row>
    <row r="211" spans="1:22" ht="51.75">
      <c r="A211" s="517"/>
      <c r="B211" s="518"/>
      <c r="C211" s="493" t="s">
        <v>881</v>
      </c>
      <c r="D211" s="358"/>
      <c r="E211" s="358"/>
      <c r="F211" s="358"/>
      <c r="G211" s="358"/>
      <c r="H211" s="358"/>
      <c r="I211" s="358"/>
      <c r="J211" s="358"/>
      <c r="K211" s="47"/>
      <c r="L211" s="47"/>
      <c r="M211" s="47"/>
      <c r="N211" s="33">
        <v>200000</v>
      </c>
      <c r="O211" s="28"/>
      <c r="P211" s="28"/>
      <c r="Q211" s="28"/>
      <c r="R211" s="28"/>
      <c r="S211" s="28"/>
      <c r="T211" s="355"/>
      <c r="U211" s="344"/>
      <c r="V211" s="313"/>
    </row>
    <row r="212" spans="1:22" ht="34.5">
      <c r="A212" s="517"/>
      <c r="B212" s="518"/>
      <c r="C212" s="493" t="s">
        <v>883</v>
      </c>
      <c r="D212" s="358"/>
      <c r="E212" s="358"/>
      <c r="F212" s="358"/>
      <c r="G212" s="358"/>
      <c r="H212" s="358"/>
      <c r="I212" s="358"/>
      <c r="J212" s="358"/>
      <c r="K212" s="47"/>
      <c r="L212" s="47"/>
      <c r="M212" s="47"/>
      <c r="N212" s="33">
        <v>250000</v>
      </c>
      <c r="O212" s="28"/>
      <c r="P212" s="28"/>
      <c r="Q212" s="28"/>
      <c r="R212" s="28"/>
      <c r="S212" s="28"/>
      <c r="T212" s="355"/>
      <c r="U212" s="344"/>
      <c r="V212" s="313"/>
    </row>
    <row r="213" spans="1:22" ht="51.75">
      <c r="A213" s="517"/>
      <c r="B213" s="518"/>
      <c r="C213" s="493" t="s">
        <v>884</v>
      </c>
      <c r="D213" s="358"/>
      <c r="E213" s="358"/>
      <c r="F213" s="358"/>
      <c r="G213" s="358"/>
      <c r="H213" s="358"/>
      <c r="I213" s="358"/>
      <c r="J213" s="358"/>
      <c r="K213" s="47"/>
      <c r="L213" s="47"/>
      <c r="M213" s="47"/>
      <c r="N213" s="33">
        <v>25000</v>
      </c>
      <c r="O213" s="28"/>
      <c r="P213" s="28"/>
      <c r="Q213" s="28"/>
      <c r="R213" s="28"/>
      <c r="S213" s="28"/>
      <c r="T213" s="355"/>
      <c r="U213" s="344"/>
      <c r="V213" s="313"/>
    </row>
    <row r="214" spans="1:22" ht="34.5">
      <c r="A214" s="516">
        <v>8.1</v>
      </c>
      <c r="B214" s="518" t="s">
        <v>104</v>
      </c>
      <c r="C214" s="495" t="s">
        <v>885</v>
      </c>
      <c r="D214" s="376" t="s">
        <v>445</v>
      </c>
      <c r="E214" s="376" t="s">
        <v>445</v>
      </c>
      <c r="F214" s="376" t="s">
        <v>445</v>
      </c>
      <c r="G214" s="376" t="s">
        <v>445</v>
      </c>
      <c r="H214" s="376" t="s">
        <v>445</v>
      </c>
      <c r="I214" s="376" t="s">
        <v>445</v>
      </c>
      <c r="J214" s="376" t="s">
        <v>445</v>
      </c>
      <c r="K214" s="23">
        <v>0</v>
      </c>
      <c r="L214" s="23">
        <v>0</v>
      </c>
      <c r="M214" s="23"/>
      <c r="N214" s="23">
        <v>800000</v>
      </c>
      <c r="O214" s="23">
        <f t="shared" ref="O214:O222" si="56">L214+N214</f>
        <v>800000</v>
      </c>
      <c r="P214" s="23">
        <f t="shared" ref="P214:P222" si="57">K214+O214</f>
        <v>800000</v>
      </c>
      <c r="Q214" s="16"/>
      <c r="R214" s="16"/>
      <c r="S214" s="16"/>
      <c r="T214" s="16"/>
      <c r="U214" s="356"/>
      <c r="V214" s="356"/>
    </row>
    <row r="215" spans="1:22" ht="34.5">
      <c r="A215" s="516">
        <v>8.11</v>
      </c>
      <c r="B215" s="518" t="s">
        <v>104</v>
      </c>
      <c r="C215" s="495" t="s">
        <v>886</v>
      </c>
      <c r="D215" s="376" t="s">
        <v>445</v>
      </c>
      <c r="E215" s="376" t="s">
        <v>445</v>
      </c>
      <c r="F215" s="376" t="s">
        <v>445</v>
      </c>
      <c r="G215" s="376" t="s">
        <v>445</v>
      </c>
      <c r="H215" s="376" t="s">
        <v>445</v>
      </c>
      <c r="I215" s="376" t="s">
        <v>445</v>
      </c>
      <c r="J215" s="376" t="s">
        <v>445</v>
      </c>
      <c r="K215" s="23">
        <v>0</v>
      </c>
      <c r="L215" s="23">
        <v>0</v>
      </c>
      <c r="M215" s="23"/>
      <c r="N215" s="23">
        <v>1500000</v>
      </c>
      <c r="O215" s="23">
        <f t="shared" si="56"/>
        <v>1500000</v>
      </c>
      <c r="P215" s="23">
        <f t="shared" si="57"/>
        <v>1500000</v>
      </c>
      <c r="Q215" s="16"/>
      <c r="R215" s="16"/>
      <c r="S215" s="16"/>
      <c r="T215" s="16"/>
      <c r="U215" s="356"/>
      <c r="V215" s="356"/>
    </row>
    <row r="216" spans="1:22" ht="69">
      <c r="A216" s="516">
        <v>8.1199999999999992</v>
      </c>
      <c r="B216" s="518" t="s">
        <v>46</v>
      </c>
      <c r="C216" s="495" t="s">
        <v>1050</v>
      </c>
      <c r="D216" s="376" t="s">
        <v>445</v>
      </c>
      <c r="E216" s="376" t="s">
        <v>445</v>
      </c>
      <c r="F216" s="376" t="s">
        <v>445</v>
      </c>
      <c r="G216" s="376" t="s">
        <v>445</v>
      </c>
      <c r="H216" s="376" t="s">
        <v>445</v>
      </c>
      <c r="I216" s="376" t="s">
        <v>445</v>
      </c>
      <c r="J216" s="376" t="s">
        <v>445</v>
      </c>
      <c r="K216" s="23">
        <v>0</v>
      </c>
      <c r="L216" s="23">
        <v>0</v>
      </c>
      <c r="M216" s="23"/>
      <c r="N216" s="23">
        <v>2000000</v>
      </c>
      <c r="O216" s="23">
        <f t="shared" si="56"/>
        <v>2000000</v>
      </c>
      <c r="P216" s="23">
        <f t="shared" si="57"/>
        <v>2000000</v>
      </c>
      <c r="Q216" s="16"/>
      <c r="R216" s="16"/>
      <c r="S216" s="16"/>
      <c r="T216" s="16"/>
      <c r="U216" s="356"/>
      <c r="V216" s="356"/>
    </row>
    <row r="217" spans="1:22" ht="63">
      <c r="A217" s="361">
        <v>9</v>
      </c>
      <c r="B217" s="362" t="s">
        <v>93</v>
      </c>
      <c r="C217" s="35" t="s">
        <v>887</v>
      </c>
      <c r="D217" s="535" t="s">
        <v>765</v>
      </c>
      <c r="E217" s="535" t="s">
        <v>766</v>
      </c>
      <c r="F217" s="527" t="s">
        <v>767</v>
      </c>
      <c r="G217" s="527" t="s">
        <v>768</v>
      </c>
      <c r="H217" s="527" t="s">
        <v>769</v>
      </c>
      <c r="I217" s="527" t="s">
        <v>552</v>
      </c>
      <c r="J217" s="376" t="s">
        <v>445</v>
      </c>
      <c r="K217" s="23">
        <v>0</v>
      </c>
      <c r="L217" s="23">
        <v>0</v>
      </c>
      <c r="M217" s="23"/>
      <c r="N217" s="23">
        <v>500000</v>
      </c>
      <c r="O217" s="23">
        <f t="shared" si="56"/>
        <v>500000</v>
      </c>
      <c r="P217" s="23">
        <f t="shared" si="57"/>
        <v>500000</v>
      </c>
      <c r="Q217" s="16"/>
      <c r="R217" s="16"/>
      <c r="S217" s="16"/>
      <c r="T217" s="16"/>
      <c r="U217" s="356"/>
      <c r="V217" s="356"/>
    </row>
    <row r="218" spans="1:22" ht="147">
      <c r="A218" s="361">
        <v>10</v>
      </c>
      <c r="B218" s="362" t="s">
        <v>93</v>
      </c>
      <c r="C218" s="35" t="s">
        <v>888</v>
      </c>
      <c r="D218" s="535" t="s">
        <v>770</v>
      </c>
      <c r="E218" s="535" t="s">
        <v>771</v>
      </c>
      <c r="F218" s="527" t="s">
        <v>772</v>
      </c>
      <c r="G218" s="527" t="s">
        <v>773</v>
      </c>
      <c r="H218" s="527" t="s">
        <v>769</v>
      </c>
      <c r="I218" s="527" t="s">
        <v>552</v>
      </c>
      <c r="J218" s="527" t="s">
        <v>445</v>
      </c>
      <c r="K218" s="23">
        <v>0</v>
      </c>
      <c r="L218" s="23">
        <v>0</v>
      </c>
      <c r="M218" s="23"/>
      <c r="N218" s="23">
        <v>80000</v>
      </c>
      <c r="O218" s="23">
        <f t="shared" si="56"/>
        <v>80000</v>
      </c>
      <c r="P218" s="23">
        <f t="shared" si="57"/>
        <v>80000</v>
      </c>
      <c r="Q218" s="16"/>
      <c r="R218" s="16"/>
      <c r="S218" s="16"/>
      <c r="T218" s="16"/>
      <c r="U218" s="356"/>
      <c r="V218" s="356"/>
    </row>
    <row r="219" spans="1:22" ht="84">
      <c r="A219" s="361">
        <v>11</v>
      </c>
      <c r="B219" s="362" t="s">
        <v>93</v>
      </c>
      <c r="C219" s="529" t="s">
        <v>174</v>
      </c>
      <c r="D219" s="376" t="s">
        <v>445</v>
      </c>
      <c r="E219" s="376" t="s">
        <v>445</v>
      </c>
      <c r="F219" s="376" t="s">
        <v>445</v>
      </c>
      <c r="G219" s="376" t="s">
        <v>445</v>
      </c>
      <c r="H219" s="376" t="s">
        <v>445</v>
      </c>
      <c r="I219" s="376" t="s">
        <v>445</v>
      </c>
      <c r="J219" s="376" t="s">
        <v>445</v>
      </c>
      <c r="K219" s="23">
        <v>0</v>
      </c>
      <c r="L219" s="23">
        <v>0</v>
      </c>
      <c r="M219" s="23"/>
      <c r="N219" s="23">
        <v>60000</v>
      </c>
      <c r="O219" s="23">
        <f t="shared" si="56"/>
        <v>60000</v>
      </c>
      <c r="P219" s="23">
        <f t="shared" si="57"/>
        <v>60000</v>
      </c>
      <c r="Q219" s="16"/>
      <c r="R219" s="16"/>
      <c r="S219" s="16"/>
      <c r="T219" s="16"/>
      <c r="U219" s="356"/>
      <c r="V219" s="356"/>
    </row>
    <row r="220" spans="1:22" ht="176.25" customHeight="1">
      <c r="A220" s="361">
        <v>12</v>
      </c>
      <c r="B220" s="362" t="s">
        <v>23</v>
      </c>
      <c r="C220" s="35" t="s">
        <v>889</v>
      </c>
      <c r="D220" s="418" t="s">
        <v>654</v>
      </c>
      <c r="E220" s="418" t="s">
        <v>655</v>
      </c>
      <c r="F220" s="418" t="s">
        <v>656</v>
      </c>
      <c r="G220" s="418" t="s">
        <v>657</v>
      </c>
      <c r="H220" s="418" t="s">
        <v>658</v>
      </c>
      <c r="I220" s="418" t="s">
        <v>659</v>
      </c>
      <c r="J220" s="418" t="s">
        <v>660</v>
      </c>
      <c r="K220" s="197">
        <v>0</v>
      </c>
      <c r="L220" s="197">
        <v>0</v>
      </c>
      <c r="M220" s="197"/>
      <c r="N220" s="375"/>
      <c r="O220" s="368">
        <f t="shared" si="56"/>
        <v>0</v>
      </c>
      <c r="P220" s="368">
        <f t="shared" si="57"/>
        <v>0</v>
      </c>
      <c r="Q220" s="368"/>
      <c r="R220" s="368"/>
      <c r="S220" s="368"/>
      <c r="T220" s="368"/>
      <c r="U220" s="440"/>
      <c r="V220" s="323"/>
    </row>
    <row r="221" spans="1:22" s="314" customFormat="1" ht="409.5">
      <c r="A221" s="530">
        <v>13</v>
      </c>
      <c r="B221" s="531" t="s">
        <v>23</v>
      </c>
      <c r="C221" s="371" t="s">
        <v>179</v>
      </c>
      <c r="D221" s="519" t="s">
        <v>759</v>
      </c>
      <c r="E221" s="312" t="s">
        <v>760</v>
      </c>
      <c r="F221" s="312" t="s">
        <v>761</v>
      </c>
      <c r="G221" s="312" t="s">
        <v>371</v>
      </c>
      <c r="H221" s="312" t="s">
        <v>371</v>
      </c>
      <c r="I221" s="312" t="s">
        <v>677</v>
      </c>
      <c r="J221" s="312" t="s">
        <v>762</v>
      </c>
      <c r="K221" s="72">
        <v>0</v>
      </c>
      <c r="L221" s="10">
        <v>0</v>
      </c>
      <c r="M221" s="10"/>
      <c r="N221" s="10">
        <v>200000</v>
      </c>
      <c r="O221" s="10">
        <f t="shared" si="56"/>
        <v>200000</v>
      </c>
      <c r="P221" s="10">
        <f t="shared" si="57"/>
        <v>200000</v>
      </c>
      <c r="Q221" s="28"/>
      <c r="R221" s="28"/>
      <c r="S221" s="27"/>
      <c r="T221" s="27"/>
      <c r="U221" s="27"/>
      <c r="V221" s="363"/>
    </row>
    <row r="222" spans="1:22" s="314" customFormat="1" ht="409.5">
      <c r="A222" s="530">
        <v>14</v>
      </c>
      <c r="B222" s="531" t="s">
        <v>23</v>
      </c>
      <c r="C222" s="371" t="s">
        <v>257</v>
      </c>
      <c r="D222" s="312" t="s">
        <v>754</v>
      </c>
      <c r="E222" s="312" t="s">
        <v>755</v>
      </c>
      <c r="F222" s="312" t="s">
        <v>756</v>
      </c>
      <c r="G222" s="312" t="s">
        <v>371</v>
      </c>
      <c r="H222" s="312" t="s">
        <v>371</v>
      </c>
      <c r="I222" s="312" t="s">
        <v>757</v>
      </c>
      <c r="J222" s="312" t="s">
        <v>758</v>
      </c>
      <c r="K222" s="72">
        <v>0</v>
      </c>
      <c r="L222" s="10">
        <v>0</v>
      </c>
      <c r="M222" s="10"/>
      <c r="N222" s="10">
        <v>900000</v>
      </c>
      <c r="O222" s="10">
        <f t="shared" si="56"/>
        <v>900000</v>
      </c>
      <c r="P222" s="10">
        <f t="shared" si="57"/>
        <v>900000</v>
      </c>
      <c r="Q222" s="28"/>
      <c r="R222" s="28"/>
      <c r="S222" s="28"/>
      <c r="T222" s="27"/>
      <c r="U222" s="532"/>
      <c r="V222" s="363"/>
    </row>
    <row r="223" spans="1:22" ht="147">
      <c r="A223" s="8">
        <v>15</v>
      </c>
      <c r="B223" s="362" t="s">
        <v>184</v>
      </c>
      <c r="C223" s="35" t="s">
        <v>890</v>
      </c>
      <c r="D223" s="376"/>
      <c r="E223" s="376"/>
      <c r="F223" s="376"/>
      <c r="G223" s="376"/>
      <c r="H223" s="376"/>
      <c r="I223" s="376"/>
      <c r="J223" s="376"/>
      <c r="K223" s="23"/>
      <c r="L223" s="23"/>
      <c r="M223" s="23"/>
      <c r="N223" s="23"/>
      <c r="O223" s="23"/>
      <c r="P223" s="23"/>
      <c r="Q223" s="16"/>
      <c r="R223" s="16"/>
      <c r="S223" s="16"/>
      <c r="T223" s="16"/>
      <c r="U223" s="356"/>
      <c r="V223" s="356"/>
    </row>
    <row r="224" spans="1:22" ht="93.75">
      <c r="A224" s="533">
        <v>15.1</v>
      </c>
      <c r="B224" s="534" t="s">
        <v>65</v>
      </c>
      <c r="C224" s="37" t="s">
        <v>891</v>
      </c>
      <c r="D224" s="358" t="s">
        <v>445</v>
      </c>
      <c r="E224" s="358" t="s">
        <v>445</v>
      </c>
      <c r="F224" s="358" t="s">
        <v>445</v>
      </c>
      <c r="G224" s="358" t="s">
        <v>445</v>
      </c>
      <c r="H224" s="358" t="s">
        <v>445</v>
      </c>
      <c r="I224" s="358" t="s">
        <v>445</v>
      </c>
      <c r="J224" s="358" t="s">
        <v>445</v>
      </c>
      <c r="K224" s="23">
        <v>89100</v>
      </c>
      <c r="L224" s="23">
        <v>0</v>
      </c>
      <c r="M224" s="23">
        <v>0</v>
      </c>
      <c r="N224" s="23">
        <v>0</v>
      </c>
      <c r="O224" s="23">
        <f t="shared" ref="O224:O233" si="58">L224+M224+N224</f>
        <v>0</v>
      </c>
      <c r="P224" s="23">
        <f t="shared" ref="P224:P233" si="59">K224+O224</f>
        <v>89100</v>
      </c>
      <c r="Q224" s="16"/>
      <c r="R224" s="16"/>
      <c r="S224" s="16"/>
      <c r="T224" s="16"/>
      <c r="U224" s="356"/>
      <c r="V224" s="356"/>
    </row>
    <row r="225" spans="1:22" ht="75">
      <c r="A225" s="533">
        <v>15.2</v>
      </c>
      <c r="B225" s="534" t="s">
        <v>192</v>
      </c>
      <c r="C225" s="37" t="s">
        <v>892</v>
      </c>
      <c r="D225" s="358" t="s">
        <v>445</v>
      </c>
      <c r="E225" s="358" t="s">
        <v>445</v>
      </c>
      <c r="F225" s="358" t="s">
        <v>445</v>
      </c>
      <c r="G225" s="358" t="s">
        <v>445</v>
      </c>
      <c r="H225" s="358" t="s">
        <v>445</v>
      </c>
      <c r="I225" s="358" t="s">
        <v>445</v>
      </c>
      <c r="J225" s="358" t="s">
        <v>445</v>
      </c>
      <c r="K225" s="23">
        <v>85000</v>
      </c>
      <c r="L225" s="23">
        <v>0</v>
      </c>
      <c r="M225" s="23">
        <v>0</v>
      </c>
      <c r="N225" s="23">
        <v>0</v>
      </c>
      <c r="O225" s="23">
        <f t="shared" si="58"/>
        <v>0</v>
      </c>
      <c r="P225" s="23">
        <f t="shared" si="59"/>
        <v>85000</v>
      </c>
      <c r="Q225" s="16"/>
      <c r="R225" s="16"/>
      <c r="S225" s="16"/>
      <c r="T225" s="16"/>
      <c r="U225" s="356"/>
      <c r="V225" s="356"/>
    </row>
    <row r="226" spans="1:22" ht="362.25">
      <c r="A226" s="533">
        <v>15.3</v>
      </c>
      <c r="B226" s="534" t="s">
        <v>63</v>
      </c>
      <c r="C226" s="37" t="s">
        <v>896</v>
      </c>
      <c r="D226" s="449" t="s">
        <v>743</v>
      </c>
      <c r="E226" s="447" t="s">
        <v>744</v>
      </c>
      <c r="F226" s="449" t="s">
        <v>745</v>
      </c>
      <c r="G226" s="447" t="s">
        <v>746</v>
      </c>
      <c r="H226" s="447" t="s">
        <v>747</v>
      </c>
      <c r="I226" s="357" t="s">
        <v>552</v>
      </c>
      <c r="J226" s="374" t="s">
        <v>748</v>
      </c>
      <c r="K226" s="23">
        <v>100000</v>
      </c>
      <c r="L226" s="23">
        <v>0</v>
      </c>
      <c r="M226" s="23">
        <v>0</v>
      </c>
      <c r="N226" s="23">
        <v>0</v>
      </c>
      <c r="O226" s="23">
        <f t="shared" si="58"/>
        <v>0</v>
      </c>
      <c r="P226" s="23">
        <f t="shared" si="59"/>
        <v>100000</v>
      </c>
      <c r="Q226" s="16"/>
      <c r="R226" s="16"/>
      <c r="S226" s="16"/>
      <c r="T226" s="16"/>
      <c r="U226" s="356"/>
      <c r="V226" s="356"/>
    </row>
    <row r="227" spans="1:22" ht="131.25">
      <c r="A227" s="533">
        <v>15.4</v>
      </c>
      <c r="B227" s="534" t="s">
        <v>198</v>
      </c>
      <c r="C227" s="37" t="s">
        <v>895</v>
      </c>
      <c r="D227" s="358" t="s">
        <v>445</v>
      </c>
      <c r="E227" s="358" t="s">
        <v>445</v>
      </c>
      <c r="F227" s="358" t="s">
        <v>445</v>
      </c>
      <c r="G227" s="358" t="s">
        <v>445</v>
      </c>
      <c r="H227" s="358" t="s">
        <v>445</v>
      </c>
      <c r="I227" s="358" t="s">
        <v>445</v>
      </c>
      <c r="J227" s="358" t="s">
        <v>445</v>
      </c>
      <c r="K227" s="23">
        <v>147000</v>
      </c>
      <c r="L227" s="23">
        <v>0</v>
      </c>
      <c r="M227" s="23">
        <v>0</v>
      </c>
      <c r="N227" s="23">
        <v>0</v>
      </c>
      <c r="O227" s="23">
        <f t="shared" si="58"/>
        <v>0</v>
      </c>
      <c r="P227" s="23">
        <f t="shared" si="59"/>
        <v>147000</v>
      </c>
      <c r="Q227" s="16"/>
      <c r="R227" s="16"/>
      <c r="S227" s="16"/>
      <c r="T227" s="16"/>
      <c r="U227" s="356"/>
      <c r="V227" s="356"/>
    </row>
    <row r="228" spans="1:22" ht="224.25">
      <c r="A228" s="533">
        <v>15.5</v>
      </c>
      <c r="B228" s="534" t="s">
        <v>63</v>
      </c>
      <c r="C228" s="37" t="s">
        <v>894</v>
      </c>
      <c r="D228" s="398" t="s">
        <v>749</v>
      </c>
      <c r="E228" s="447" t="s">
        <v>750</v>
      </c>
      <c r="F228" s="447" t="s">
        <v>751</v>
      </c>
      <c r="G228" s="447" t="s">
        <v>753</v>
      </c>
      <c r="H228" s="446" t="s">
        <v>752</v>
      </c>
      <c r="I228" s="357" t="s">
        <v>552</v>
      </c>
      <c r="J228" s="374" t="s">
        <v>748</v>
      </c>
      <c r="K228" s="23">
        <v>90000</v>
      </c>
      <c r="L228" s="23">
        <v>0</v>
      </c>
      <c r="M228" s="23">
        <v>0</v>
      </c>
      <c r="N228" s="23">
        <v>0</v>
      </c>
      <c r="O228" s="23">
        <f t="shared" si="58"/>
        <v>0</v>
      </c>
      <c r="P228" s="23">
        <f t="shared" si="59"/>
        <v>90000</v>
      </c>
      <c r="Q228" s="16"/>
      <c r="R228" s="16"/>
      <c r="S228" s="16"/>
      <c r="T228" s="16"/>
      <c r="U228" s="356"/>
      <c r="V228" s="356"/>
    </row>
    <row r="229" spans="1:22" ht="241.5">
      <c r="A229" s="533">
        <v>15.6</v>
      </c>
      <c r="B229" s="534" t="s">
        <v>105</v>
      </c>
      <c r="C229" s="37" t="s">
        <v>893</v>
      </c>
      <c r="D229" s="338" t="s">
        <v>721</v>
      </c>
      <c r="E229" s="338" t="s">
        <v>722</v>
      </c>
      <c r="F229" s="338" t="s">
        <v>723</v>
      </c>
      <c r="G229" s="403">
        <v>5</v>
      </c>
      <c r="H229" s="403" t="s">
        <v>634</v>
      </c>
      <c r="I229" s="376"/>
      <c r="J229" s="376"/>
      <c r="K229" s="23">
        <v>90000</v>
      </c>
      <c r="L229" s="23">
        <v>0</v>
      </c>
      <c r="M229" s="23">
        <v>0</v>
      </c>
      <c r="N229" s="23">
        <v>0</v>
      </c>
      <c r="O229" s="23">
        <f t="shared" si="58"/>
        <v>0</v>
      </c>
      <c r="P229" s="23">
        <f t="shared" si="59"/>
        <v>90000</v>
      </c>
      <c r="Q229" s="16"/>
      <c r="R229" s="16"/>
      <c r="S229" s="16"/>
      <c r="T229" s="16"/>
      <c r="U229" s="356"/>
      <c r="V229" s="356"/>
    </row>
    <row r="230" spans="1:22" ht="84">
      <c r="A230" s="530">
        <v>16</v>
      </c>
      <c r="B230" s="362" t="s">
        <v>1012</v>
      </c>
      <c r="C230" s="371" t="s">
        <v>205</v>
      </c>
      <c r="D230" s="358" t="s">
        <v>445</v>
      </c>
      <c r="E230" s="358" t="s">
        <v>445</v>
      </c>
      <c r="F230" s="358" t="s">
        <v>445</v>
      </c>
      <c r="G230" s="358" t="s">
        <v>445</v>
      </c>
      <c r="H230" s="358" t="s">
        <v>445</v>
      </c>
      <c r="I230" s="358" t="s">
        <v>445</v>
      </c>
      <c r="J230" s="358" t="s">
        <v>445</v>
      </c>
      <c r="K230" s="23">
        <v>100000</v>
      </c>
      <c r="L230" s="23">
        <v>0</v>
      </c>
      <c r="M230" s="23">
        <v>0</v>
      </c>
      <c r="N230" s="23">
        <v>0</v>
      </c>
      <c r="O230" s="23">
        <f t="shared" si="58"/>
        <v>0</v>
      </c>
      <c r="P230" s="23">
        <f t="shared" si="59"/>
        <v>100000</v>
      </c>
      <c r="Q230" s="16"/>
      <c r="R230" s="16"/>
      <c r="S230" s="16"/>
      <c r="T230" s="16"/>
      <c r="U230" s="356"/>
      <c r="V230" s="356"/>
    </row>
    <row r="231" spans="1:22" ht="126">
      <c r="A231" s="530">
        <v>17</v>
      </c>
      <c r="B231" s="362" t="s">
        <v>1012</v>
      </c>
      <c r="C231" s="371" t="s">
        <v>208</v>
      </c>
      <c r="D231" s="358" t="s">
        <v>445</v>
      </c>
      <c r="E231" s="358" t="s">
        <v>445</v>
      </c>
      <c r="F231" s="358" t="s">
        <v>445</v>
      </c>
      <c r="G231" s="358" t="s">
        <v>445</v>
      </c>
      <c r="H231" s="358" t="s">
        <v>445</v>
      </c>
      <c r="I231" s="358" t="s">
        <v>445</v>
      </c>
      <c r="J231" s="358" t="s">
        <v>445</v>
      </c>
      <c r="K231" s="23">
        <v>100000</v>
      </c>
      <c r="L231" s="23">
        <v>0</v>
      </c>
      <c r="M231" s="23">
        <v>0</v>
      </c>
      <c r="N231" s="23">
        <v>0</v>
      </c>
      <c r="O231" s="23">
        <f t="shared" si="58"/>
        <v>0</v>
      </c>
      <c r="P231" s="23">
        <f t="shared" si="59"/>
        <v>100000</v>
      </c>
      <c r="Q231" s="16"/>
      <c r="R231" s="16"/>
      <c r="S231" s="16"/>
      <c r="T231" s="16"/>
      <c r="U231" s="356"/>
      <c r="V231" s="356"/>
    </row>
    <row r="232" spans="1:22" ht="84">
      <c r="A232" s="530">
        <v>18</v>
      </c>
      <c r="B232" s="362" t="s">
        <v>1011</v>
      </c>
      <c r="C232" s="371" t="s">
        <v>212</v>
      </c>
      <c r="D232" s="358" t="s">
        <v>445</v>
      </c>
      <c r="E232" s="358" t="s">
        <v>445</v>
      </c>
      <c r="F232" s="358" t="s">
        <v>445</v>
      </c>
      <c r="G232" s="358" t="s">
        <v>445</v>
      </c>
      <c r="H232" s="358" t="s">
        <v>445</v>
      </c>
      <c r="I232" s="358" t="s">
        <v>445</v>
      </c>
      <c r="J232" s="358" t="s">
        <v>445</v>
      </c>
      <c r="K232" s="23">
        <v>100000</v>
      </c>
      <c r="L232" s="23">
        <v>0</v>
      </c>
      <c r="M232" s="23">
        <v>0</v>
      </c>
      <c r="N232" s="23">
        <v>0</v>
      </c>
      <c r="O232" s="23">
        <f t="shared" si="58"/>
        <v>0</v>
      </c>
      <c r="P232" s="23">
        <f t="shared" si="59"/>
        <v>100000</v>
      </c>
      <c r="Q232" s="16"/>
      <c r="R232" s="16"/>
      <c r="S232" s="16"/>
      <c r="T232" s="16"/>
      <c r="U232" s="356"/>
      <c r="V232" s="356"/>
    </row>
    <row r="233" spans="1:22" ht="84">
      <c r="A233" s="530">
        <v>19</v>
      </c>
      <c r="B233" s="362" t="s">
        <v>1010</v>
      </c>
      <c r="C233" s="371" t="s">
        <v>264</v>
      </c>
      <c r="D233" s="358" t="s">
        <v>445</v>
      </c>
      <c r="E233" s="358" t="s">
        <v>445</v>
      </c>
      <c r="F233" s="358" t="s">
        <v>445</v>
      </c>
      <c r="G233" s="358" t="s">
        <v>445</v>
      </c>
      <c r="H233" s="358" t="s">
        <v>445</v>
      </c>
      <c r="I233" s="358" t="s">
        <v>445</v>
      </c>
      <c r="J233" s="358" t="s">
        <v>445</v>
      </c>
      <c r="K233" s="23">
        <v>40000</v>
      </c>
      <c r="L233" s="23">
        <v>0</v>
      </c>
      <c r="M233" s="23">
        <v>0</v>
      </c>
      <c r="N233" s="23">
        <v>0</v>
      </c>
      <c r="O233" s="23">
        <f t="shared" si="58"/>
        <v>0</v>
      </c>
      <c r="P233" s="23">
        <f t="shared" si="59"/>
        <v>40000</v>
      </c>
      <c r="Q233" s="16"/>
      <c r="R233" s="16"/>
      <c r="S233" s="16"/>
      <c r="T233" s="16"/>
      <c r="U233" s="356"/>
      <c r="V233" s="356"/>
    </row>
    <row r="234" spans="1:22" ht="84">
      <c r="A234" s="530">
        <v>20</v>
      </c>
      <c r="B234" s="362" t="s">
        <v>1009</v>
      </c>
      <c r="C234" s="371" t="s">
        <v>216</v>
      </c>
      <c r="D234" s="358" t="s">
        <v>445</v>
      </c>
      <c r="E234" s="358" t="s">
        <v>445</v>
      </c>
      <c r="F234" s="358" t="s">
        <v>445</v>
      </c>
      <c r="G234" s="358" t="s">
        <v>445</v>
      </c>
      <c r="H234" s="358" t="s">
        <v>445</v>
      </c>
      <c r="I234" s="358" t="s">
        <v>445</v>
      </c>
      <c r="J234" s="358" t="s">
        <v>445</v>
      </c>
      <c r="K234" s="23">
        <v>294800</v>
      </c>
      <c r="L234" s="23">
        <v>0</v>
      </c>
      <c r="M234" s="23">
        <v>0</v>
      </c>
      <c r="N234" s="23">
        <v>0</v>
      </c>
      <c r="O234" s="23">
        <f t="shared" ref="O234:O236" si="60">L234+M234+N234</f>
        <v>0</v>
      </c>
      <c r="P234" s="23">
        <f t="shared" ref="P234:P236" si="61">K234+O234</f>
        <v>294800</v>
      </c>
      <c r="Q234" s="16"/>
      <c r="R234" s="16"/>
      <c r="S234" s="16"/>
      <c r="T234" s="16"/>
      <c r="U234" s="356"/>
      <c r="V234" s="356"/>
    </row>
    <row r="235" spans="1:22" ht="300" customHeight="1">
      <c r="A235" s="530">
        <v>21</v>
      </c>
      <c r="B235" s="362" t="s">
        <v>906</v>
      </c>
      <c r="C235" s="371" t="s">
        <v>218</v>
      </c>
      <c r="D235" s="448" t="s">
        <v>738</v>
      </c>
      <c r="E235" s="448" t="s">
        <v>739</v>
      </c>
      <c r="F235" s="448" t="s">
        <v>740</v>
      </c>
      <c r="G235" s="376">
        <v>1</v>
      </c>
      <c r="H235" s="376" t="s">
        <v>741</v>
      </c>
      <c r="I235" s="448" t="s">
        <v>433</v>
      </c>
      <c r="J235" s="448" t="s">
        <v>742</v>
      </c>
      <c r="K235" s="23">
        <v>297000</v>
      </c>
      <c r="L235" s="23">
        <v>0</v>
      </c>
      <c r="M235" s="23">
        <v>0</v>
      </c>
      <c r="N235" s="23">
        <v>0</v>
      </c>
      <c r="O235" s="23">
        <f t="shared" si="60"/>
        <v>0</v>
      </c>
      <c r="P235" s="23">
        <f t="shared" si="61"/>
        <v>297000</v>
      </c>
      <c r="Q235" s="16"/>
      <c r="R235" s="16"/>
      <c r="S235" s="16"/>
      <c r="T235" s="16"/>
      <c r="U235" s="356"/>
      <c r="V235" s="356"/>
    </row>
    <row r="236" spans="1:22" ht="210">
      <c r="A236" s="530">
        <v>22</v>
      </c>
      <c r="B236" s="362" t="s">
        <v>907</v>
      </c>
      <c r="C236" s="371" t="s">
        <v>220</v>
      </c>
      <c r="D236" s="358" t="s">
        <v>445</v>
      </c>
      <c r="E236" s="358" t="s">
        <v>445</v>
      </c>
      <c r="F236" s="358" t="s">
        <v>445</v>
      </c>
      <c r="G236" s="358" t="s">
        <v>445</v>
      </c>
      <c r="H236" s="358" t="s">
        <v>445</v>
      </c>
      <c r="I236" s="358" t="s">
        <v>445</v>
      </c>
      <c r="J236" s="358" t="s">
        <v>445</v>
      </c>
      <c r="K236" s="23">
        <v>297000</v>
      </c>
      <c r="L236" s="23">
        <v>0</v>
      </c>
      <c r="M236" s="23">
        <v>0</v>
      </c>
      <c r="N236" s="23">
        <v>0</v>
      </c>
      <c r="O236" s="23">
        <f t="shared" si="60"/>
        <v>0</v>
      </c>
      <c r="P236" s="23">
        <f t="shared" si="61"/>
        <v>297000</v>
      </c>
      <c r="Q236" s="16"/>
      <c r="R236" s="16"/>
      <c r="S236" s="16"/>
      <c r="T236" s="16"/>
      <c r="U236" s="356"/>
      <c r="V236" s="356"/>
    </row>
    <row r="237" spans="1:22" ht="258.75">
      <c r="A237" s="530">
        <v>23</v>
      </c>
      <c r="B237" s="362" t="s">
        <v>57</v>
      </c>
      <c r="C237" s="371" t="s">
        <v>897</v>
      </c>
      <c r="D237" s="374" t="s">
        <v>763</v>
      </c>
      <c r="E237" s="374" t="s">
        <v>764</v>
      </c>
      <c r="F237" s="376"/>
      <c r="G237" s="376"/>
      <c r="H237" s="376"/>
      <c r="I237" s="376"/>
      <c r="J237" s="376"/>
      <c r="K237" s="23">
        <v>0</v>
      </c>
      <c r="L237" s="23">
        <v>800000</v>
      </c>
      <c r="M237" s="23">
        <v>0</v>
      </c>
      <c r="N237" s="23">
        <v>0</v>
      </c>
      <c r="O237" s="23">
        <f t="shared" ref="O237" si="62">L237+M237+N237</f>
        <v>800000</v>
      </c>
      <c r="P237" s="23">
        <f t="shared" ref="P237" si="63">K237+O237</f>
        <v>800000</v>
      </c>
      <c r="Q237" s="16"/>
      <c r="R237" s="16"/>
      <c r="S237" s="16"/>
      <c r="T237" s="16"/>
      <c r="U237" s="356"/>
      <c r="V237" s="356"/>
    </row>
    <row r="238" spans="1:22" ht="81.75">
      <c r="A238" s="185">
        <v>24</v>
      </c>
      <c r="B238" s="362" t="s">
        <v>105</v>
      </c>
      <c r="C238" s="371" t="s">
        <v>899</v>
      </c>
      <c r="D238" s="358" t="s">
        <v>445</v>
      </c>
      <c r="E238" s="358" t="s">
        <v>445</v>
      </c>
      <c r="F238" s="358" t="s">
        <v>445</v>
      </c>
      <c r="G238" s="358" t="s">
        <v>445</v>
      </c>
      <c r="H238" s="358" t="s">
        <v>445</v>
      </c>
      <c r="I238" s="358" t="s">
        <v>445</v>
      </c>
      <c r="J238" s="358" t="s">
        <v>445</v>
      </c>
      <c r="K238" s="23">
        <v>0</v>
      </c>
      <c r="L238" s="179">
        <v>800000</v>
      </c>
      <c r="M238" s="23">
        <v>0</v>
      </c>
      <c r="N238" s="23">
        <v>0</v>
      </c>
      <c r="O238" s="23">
        <f t="shared" ref="O238:O240" si="64">L238+M238+N238</f>
        <v>800000</v>
      </c>
      <c r="P238" s="23">
        <f t="shared" ref="P238:P240" si="65">K238+O238</f>
        <v>800000</v>
      </c>
      <c r="Q238" s="16"/>
      <c r="R238" s="16"/>
      <c r="S238" s="16"/>
      <c r="T238" s="16"/>
      <c r="U238" s="356"/>
      <c r="V238" s="356"/>
    </row>
    <row r="239" spans="1:22" ht="81.75">
      <c r="A239" s="662">
        <v>25</v>
      </c>
      <c r="B239" s="362" t="s">
        <v>105</v>
      </c>
      <c r="C239" s="371" t="s">
        <v>898</v>
      </c>
      <c r="D239" s="358" t="s">
        <v>445</v>
      </c>
      <c r="E239" s="358" t="s">
        <v>445</v>
      </c>
      <c r="F239" s="358" t="s">
        <v>445</v>
      </c>
      <c r="G239" s="358" t="s">
        <v>445</v>
      </c>
      <c r="H239" s="358" t="s">
        <v>445</v>
      </c>
      <c r="I239" s="358" t="s">
        <v>445</v>
      </c>
      <c r="J239" s="358" t="s">
        <v>445</v>
      </c>
      <c r="K239" s="23">
        <v>0</v>
      </c>
      <c r="L239" s="179">
        <v>300000</v>
      </c>
      <c r="M239" s="23">
        <v>0</v>
      </c>
      <c r="N239" s="23">
        <v>0</v>
      </c>
      <c r="O239" s="23">
        <f t="shared" si="64"/>
        <v>300000</v>
      </c>
      <c r="P239" s="23">
        <f t="shared" si="65"/>
        <v>300000</v>
      </c>
      <c r="Q239" s="16"/>
      <c r="R239" s="16"/>
      <c r="S239" s="16"/>
      <c r="T239" s="16"/>
      <c r="U239" s="356"/>
      <c r="V239" s="356"/>
    </row>
    <row r="240" spans="1:22" ht="84">
      <c r="A240" s="8">
        <v>26</v>
      </c>
      <c r="B240" s="40" t="s">
        <v>105</v>
      </c>
      <c r="C240" s="371" t="s">
        <v>237</v>
      </c>
      <c r="D240" s="358" t="s">
        <v>445</v>
      </c>
      <c r="E240" s="358" t="s">
        <v>445</v>
      </c>
      <c r="F240" s="358" t="s">
        <v>445</v>
      </c>
      <c r="G240" s="358" t="s">
        <v>445</v>
      </c>
      <c r="H240" s="358" t="s">
        <v>445</v>
      </c>
      <c r="I240" s="358" t="s">
        <v>445</v>
      </c>
      <c r="J240" s="358" t="s">
        <v>445</v>
      </c>
      <c r="K240" s="23">
        <v>0</v>
      </c>
      <c r="L240" s="179">
        <v>300000</v>
      </c>
      <c r="M240" s="23">
        <v>0</v>
      </c>
      <c r="N240" s="23">
        <v>0</v>
      </c>
      <c r="O240" s="23">
        <f t="shared" si="64"/>
        <v>300000</v>
      </c>
      <c r="P240" s="23">
        <f t="shared" si="65"/>
        <v>300000</v>
      </c>
      <c r="Q240" s="16"/>
      <c r="R240" s="16"/>
      <c r="S240" s="16"/>
      <c r="T240" s="16"/>
      <c r="U240" s="356"/>
      <c r="V240" s="356"/>
    </row>
  </sheetData>
  <mergeCells count="28">
    <mergeCell ref="S3:S4"/>
    <mergeCell ref="T3:T4"/>
    <mergeCell ref="U3:U4"/>
    <mergeCell ref="V3:V4"/>
    <mergeCell ref="U146:U152"/>
    <mergeCell ref="V146:V152"/>
    <mergeCell ref="I146:I152"/>
    <mergeCell ref="D146:D152"/>
    <mergeCell ref="E146:E152"/>
    <mergeCell ref="F146:F152"/>
    <mergeCell ref="G146:G152"/>
    <mergeCell ref="H146:H152"/>
    <mergeCell ref="Q3:Q4"/>
    <mergeCell ref="R3:R4"/>
    <mergeCell ref="A1:V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N3"/>
    <mergeCell ref="O3:O4"/>
    <mergeCell ref="P3:P4"/>
  </mergeCells>
  <pageMargins left="0.2" right="0.2" top="0.5" bottom="0.5" header="0.3" footer="0.3"/>
  <pageSetup paperSize="9" scale="50" orientation="landscape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55"/>
  <sheetViews>
    <sheetView topLeftCell="A34" workbookViewId="0">
      <selection activeCell="C12" sqref="C12"/>
    </sheetView>
  </sheetViews>
  <sheetFormatPr defaultRowHeight="23.25"/>
  <cols>
    <col min="1" max="1" width="6.42578125" style="230" customWidth="1"/>
    <col min="2" max="2" width="50.85546875" style="209" customWidth="1"/>
    <col min="3" max="3" width="10.140625" style="230" customWidth="1"/>
    <col min="4" max="4" width="14.28515625" style="209" customWidth="1"/>
    <col min="5" max="6" width="14.5703125" style="209" customWidth="1"/>
    <col min="7" max="7" width="11.28515625" style="209" customWidth="1"/>
    <col min="8" max="8" width="12.140625" style="209" customWidth="1"/>
    <col min="9" max="9" width="10.28515625" style="209" customWidth="1"/>
    <col min="10" max="10" width="7" style="209" customWidth="1"/>
    <col min="11" max="11" width="7.28515625" style="209" customWidth="1"/>
    <col min="12" max="12" width="9.140625" style="209" customWidth="1"/>
    <col min="13" max="13" width="9.7109375" style="209" customWidth="1"/>
    <col min="14" max="14" width="10.28515625" style="209" customWidth="1"/>
    <col min="15" max="15" width="12.140625" style="209" customWidth="1"/>
    <col min="16" max="16" width="0.42578125" style="209" customWidth="1"/>
    <col min="17" max="17" width="36.42578125" style="209" customWidth="1"/>
    <col min="18" max="256" width="9.140625" style="209"/>
    <col min="257" max="257" width="6.42578125" style="209" customWidth="1"/>
    <col min="258" max="258" width="50.85546875" style="209" customWidth="1"/>
    <col min="259" max="259" width="10.140625" style="209" customWidth="1"/>
    <col min="260" max="260" width="14.28515625" style="209" customWidth="1"/>
    <col min="261" max="262" width="14.5703125" style="209" customWidth="1"/>
    <col min="263" max="263" width="11.28515625" style="209" customWidth="1"/>
    <col min="264" max="264" width="12.140625" style="209" customWidth="1"/>
    <col min="265" max="265" width="10.28515625" style="209" customWidth="1"/>
    <col min="266" max="266" width="7" style="209" customWidth="1"/>
    <col min="267" max="267" width="7.28515625" style="209" customWidth="1"/>
    <col min="268" max="268" width="9.140625" style="209" customWidth="1"/>
    <col min="269" max="269" width="9.7109375" style="209" customWidth="1"/>
    <col min="270" max="270" width="10.28515625" style="209" customWidth="1"/>
    <col min="271" max="271" width="12.140625" style="209" customWidth="1"/>
    <col min="272" max="272" width="0.42578125" style="209" customWidth="1"/>
    <col min="273" max="273" width="36.42578125" style="209" customWidth="1"/>
    <col min="274" max="512" width="9.140625" style="209"/>
    <col min="513" max="513" width="6.42578125" style="209" customWidth="1"/>
    <col min="514" max="514" width="50.85546875" style="209" customWidth="1"/>
    <col min="515" max="515" width="10.140625" style="209" customWidth="1"/>
    <col min="516" max="516" width="14.28515625" style="209" customWidth="1"/>
    <col min="517" max="518" width="14.5703125" style="209" customWidth="1"/>
    <col min="519" max="519" width="11.28515625" style="209" customWidth="1"/>
    <col min="520" max="520" width="12.140625" style="209" customWidth="1"/>
    <col min="521" max="521" width="10.28515625" style="209" customWidth="1"/>
    <col min="522" max="522" width="7" style="209" customWidth="1"/>
    <col min="523" max="523" width="7.28515625" style="209" customWidth="1"/>
    <col min="524" max="524" width="9.140625" style="209" customWidth="1"/>
    <col min="525" max="525" width="9.7109375" style="209" customWidth="1"/>
    <col min="526" max="526" width="10.28515625" style="209" customWidth="1"/>
    <col min="527" max="527" width="12.140625" style="209" customWidth="1"/>
    <col min="528" max="528" width="0.42578125" style="209" customWidth="1"/>
    <col min="529" max="529" width="36.42578125" style="209" customWidth="1"/>
    <col min="530" max="768" width="9.140625" style="209"/>
    <col min="769" max="769" width="6.42578125" style="209" customWidth="1"/>
    <col min="770" max="770" width="50.85546875" style="209" customWidth="1"/>
    <col min="771" max="771" width="10.140625" style="209" customWidth="1"/>
    <col min="772" max="772" width="14.28515625" style="209" customWidth="1"/>
    <col min="773" max="774" width="14.5703125" style="209" customWidth="1"/>
    <col min="775" max="775" width="11.28515625" style="209" customWidth="1"/>
    <col min="776" max="776" width="12.140625" style="209" customWidth="1"/>
    <col min="777" max="777" width="10.28515625" style="209" customWidth="1"/>
    <col min="778" max="778" width="7" style="209" customWidth="1"/>
    <col min="779" max="779" width="7.28515625" style="209" customWidth="1"/>
    <col min="780" max="780" width="9.140625" style="209" customWidth="1"/>
    <col min="781" max="781" width="9.7109375" style="209" customWidth="1"/>
    <col min="782" max="782" width="10.28515625" style="209" customWidth="1"/>
    <col min="783" max="783" width="12.140625" style="209" customWidth="1"/>
    <col min="784" max="784" width="0.42578125" style="209" customWidth="1"/>
    <col min="785" max="785" width="36.42578125" style="209" customWidth="1"/>
    <col min="786" max="1024" width="9.140625" style="209"/>
    <col min="1025" max="1025" width="6.42578125" style="209" customWidth="1"/>
    <col min="1026" max="1026" width="50.85546875" style="209" customWidth="1"/>
    <col min="1027" max="1027" width="10.140625" style="209" customWidth="1"/>
    <col min="1028" max="1028" width="14.28515625" style="209" customWidth="1"/>
    <col min="1029" max="1030" width="14.5703125" style="209" customWidth="1"/>
    <col min="1031" max="1031" width="11.28515625" style="209" customWidth="1"/>
    <col min="1032" max="1032" width="12.140625" style="209" customWidth="1"/>
    <col min="1033" max="1033" width="10.28515625" style="209" customWidth="1"/>
    <col min="1034" max="1034" width="7" style="209" customWidth="1"/>
    <col min="1035" max="1035" width="7.28515625" style="209" customWidth="1"/>
    <col min="1036" max="1036" width="9.140625" style="209" customWidth="1"/>
    <col min="1037" max="1037" width="9.7109375" style="209" customWidth="1"/>
    <col min="1038" max="1038" width="10.28515625" style="209" customWidth="1"/>
    <col min="1039" max="1039" width="12.140625" style="209" customWidth="1"/>
    <col min="1040" max="1040" width="0.42578125" style="209" customWidth="1"/>
    <col min="1041" max="1041" width="36.42578125" style="209" customWidth="1"/>
    <col min="1042" max="1280" width="9.140625" style="209"/>
    <col min="1281" max="1281" width="6.42578125" style="209" customWidth="1"/>
    <col min="1282" max="1282" width="50.85546875" style="209" customWidth="1"/>
    <col min="1283" max="1283" width="10.140625" style="209" customWidth="1"/>
    <col min="1284" max="1284" width="14.28515625" style="209" customWidth="1"/>
    <col min="1285" max="1286" width="14.5703125" style="209" customWidth="1"/>
    <col min="1287" max="1287" width="11.28515625" style="209" customWidth="1"/>
    <col min="1288" max="1288" width="12.140625" style="209" customWidth="1"/>
    <col min="1289" max="1289" width="10.28515625" style="209" customWidth="1"/>
    <col min="1290" max="1290" width="7" style="209" customWidth="1"/>
    <col min="1291" max="1291" width="7.28515625" style="209" customWidth="1"/>
    <col min="1292" max="1292" width="9.140625" style="209" customWidth="1"/>
    <col min="1293" max="1293" width="9.7109375" style="209" customWidth="1"/>
    <col min="1294" max="1294" width="10.28515625" style="209" customWidth="1"/>
    <col min="1295" max="1295" width="12.140625" style="209" customWidth="1"/>
    <col min="1296" max="1296" width="0.42578125" style="209" customWidth="1"/>
    <col min="1297" max="1297" width="36.42578125" style="209" customWidth="1"/>
    <col min="1298" max="1536" width="9.140625" style="209"/>
    <col min="1537" max="1537" width="6.42578125" style="209" customWidth="1"/>
    <col min="1538" max="1538" width="50.85546875" style="209" customWidth="1"/>
    <col min="1539" max="1539" width="10.140625" style="209" customWidth="1"/>
    <col min="1540" max="1540" width="14.28515625" style="209" customWidth="1"/>
    <col min="1541" max="1542" width="14.5703125" style="209" customWidth="1"/>
    <col min="1543" max="1543" width="11.28515625" style="209" customWidth="1"/>
    <col min="1544" max="1544" width="12.140625" style="209" customWidth="1"/>
    <col min="1545" max="1545" width="10.28515625" style="209" customWidth="1"/>
    <col min="1546" max="1546" width="7" style="209" customWidth="1"/>
    <col min="1547" max="1547" width="7.28515625" style="209" customWidth="1"/>
    <col min="1548" max="1548" width="9.140625" style="209" customWidth="1"/>
    <col min="1549" max="1549" width="9.7109375" style="209" customWidth="1"/>
    <col min="1550" max="1550" width="10.28515625" style="209" customWidth="1"/>
    <col min="1551" max="1551" width="12.140625" style="209" customWidth="1"/>
    <col min="1552" max="1552" width="0.42578125" style="209" customWidth="1"/>
    <col min="1553" max="1553" width="36.42578125" style="209" customWidth="1"/>
    <col min="1554" max="1792" width="9.140625" style="209"/>
    <col min="1793" max="1793" width="6.42578125" style="209" customWidth="1"/>
    <col min="1794" max="1794" width="50.85546875" style="209" customWidth="1"/>
    <col min="1795" max="1795" width="10.140625" style="209" customWidth="1"/>
    <col min="1796" max="1796" width="14.28515625" style="209" customWidth="1"/>
    <col min="1797" max="1798" width="14.5703125" style="209" customWidth="1"/>
    <col min="1799" max="1799" width="11.28515625" style="209" customWidth="1"/>
    <col min="1800" max="1800" width="12.140625" style="209" customWidth="1"/>
    <col min="1801" max="1801" width="10.28515625" style="209" customWidth="1"/>
    <col min="1802" max="1802" width="7" style="209" customWidth="1"/>
    <col min="1803" max="1803" width="7.28515625" style="209" customWidth="1"/>
    <col min="1804" max="1804" width="9.140625" style="209" customWidth="1"/>
    <col min="1805" max="1805" width="9.7109375" style="209" customWidth="1"/>
    <col min="1806" max="1806" width="10.28515625" style="209" customWidth="1"/>
    <col min="1807" max="1807" width="12.140625" style="209" customWidth="1"/>
    <col min="1808" max="1808" width="0.42578125" style="209" customWidth="1"/>
    <col min="1809" max="1809" width="36.42578125" style="209" customWidth="1"/>
    <col min="1810" max="2048" width="9.140625" style="209"/>
    <col min="2049" max="2049" width="6.42578125" style="209" customWidth="1"/>
    <col min="2050" max="2050" width="50.85546875" style="209" customWidth="1"/>
    <col min="2051" max="2051" width="10.140625" style="209" customWidth="1"/>
    <col min="2052" max="2052" width="14.28515625" style="209" customWidth="1"/>
    <col min="2053" max="2054" width="14.5703125" style="209" customWidth="1"/>
    <col min="2055" max="2055" width="11.28515625" style="209" customWidth="1"/>
    <col min="2056" max="2056" width="12.140625" style="209" customWidth="1"/>
    <col min="2057" max="2057" width="10.28515625" style="209" customWidth="1"/>
    <col min="2058" max="2058" width="7" style="209" customWidth="1"/>
    <col min="2059" max="2059" width="7.28515625" style="209" customWidth="1"/>
    <col min="2060" max="2060" width="9.140625" style="209" customWidth="1"/>
    <col min="2061" max="2061" width="9.7109375" style="209" customWidth="1"/>
    <col min="2062" max="2062" width="10.28515625" style="209" customWidth="1"/>
    <col min="2063" max="2063" width="12.140625" style="209" customWidth="1"/>
    <col min="2064" max="2064" width="0.42578125" style="209" customWidth="1"/>
    <col min="2065" max="2065" width="36.42578125" style="209" customWidth="1"/>
    <col min="2066" max="2304" width="9.140625" style="209"/>
    <col min="2305" max="2305" width="6.42578125" style="209" customWidth="1"/>
    <col min="2306" max="2306" width="50.85546875" style="209" customWidth="1"/>
    <col min="2307" max="2307" width="10.140625" style="209" customWidth="1"/>
    <col min="2308" max="2308" width="14.28515625" style="209" customWidth="1"/>
    <col min="2309" max="2310" width="14.5703125" style="209" customWidth="1"/>
    <col min="2311" max="2311" width="11.28515625" style="209" customWidth="1"/>
    <col min="2312" max="2312" width="12.140625" style="209" customWidth="1"/>
    <col min="2313" max="2313" width="10.28515625" style="209" customWidth="1"/>
    <col min="2314" max="2314" width="7" style="209" customWidth="1"/>
    <col min="2315" max="2315" width="7.28515625" style="209" customWidth="1"/>
    <col min="2316" max="2316" width="9.140625" style="209" customWidth="1"/>
    <col min="2317" max="2317" width="9.7109375" style="209" customWidth="1"/>
    <col min="2318" max="2318" width="10.28515625" style="209" customWidth="1"/>
    <col min="2319" max="2319" width="12.140625" style="209" customWidth="1"/>
    <col min="2320" max="2320" width="0.42578125" style="209" customWidth="1"/>
    <col min="2321" max="2321" width="36.42578125" style="209" customWidth="1"/>
    <col min="2322" max="2560" width="9.140625" style="209"/>
    <col min="2561" max="2561" width="6.42578125" style="209" customWidth="1"/>
    <col min="2562" max="2562" width="50.85546875" style="209" customWidth="1"/>
    <col min="2563" max="2563" width="10.140625" style="209" customWidth="1"/>
    <col min="2564" max="2564" width="14.28515625" style="209" customWidth="1"/>
    <col min="2565" max="2566" width="14.5703125" style="209" customWidth="1"/>
    <col min="2567" max="2567" width="11.28515625" style="209" customWidth="1"/>
    <col min="2568" max="2568" width="12.140625" style="209" customWidth="1"/>
    <col min="2569" max="2569" width="10.28515625" style="209" customWidth="1"/>
    <col min="2570" max="2570" width="7" style="209" customWidth="1"/>
    <col min="2571" max="2571" width="7.28515625" style="209" customWidth="1"/>
    <col min="2572" max="2572" width="9.140625" style="209" customWidth="1"/>
    <col min="2573" max="2573" width="9.7109375" style="209" customWidth="1"/>
    <col min="2574" max="2574" width="10.28515625" style="209" customWidth="1"/>
    <col min="2575" max="2575" width="12.140625" style="209" customWidth="1"/>
    <col min="2576" max="2576" width="0.42578125" style="209" customWidth="1"/>
    <col min="2577" max="2577" width="36.42578125" style="209" customWidth="1"/>
    <col min="2578" max="2816" width="9.140625" style="209"/>
    <col min="2817" max="2817" width="6.42578125" style="209" customWidth="1"/>
    <col min="2818" max="2818" width="50.85546875" style="209" customWidth="1"/>
    <col min="2819" max="2819" width="10.140625" style="209" customWidth="1"/>
    <col min="2820" max="2820" width="14.28515625" style="209" customWidth="1"/>
    <col min="2821" max="2822" width="14.5703125" style="209" customWidth="1"/>
    <col min="2823" max="2823" width="11.28515625" style="209" customWidth="1"/>
    <col min="2824" max="2824" width="12.140625" style="209" customWidth="1"/>
    <col min="2825" max="2825" width="10.28515625" style="209" customWidth="1"/>
    <col min="2826" max="2826" width="7" style="209" customWidth="1"/>
    <col min="2827" max="2827" width="7.28515625" style="209" customWidth="1"/>
    <col min="2828" max="2828" width="9.140625" style="209" customWidth="1"/>
    <col min="2829" max="2829" width="9.7109375" style="209" customWidth="1"/>
    <col min="2830" max="2830" width="10.28515625" style="209" customWidth="1"/>
    <col min="2831" max="2831" width="12.140625" style="209" customWidth="1"/>
    <col min="2832" max="2832" width="0.42578125" style="209" customWidth="1"/>
    <col min="2833" max="2833" width="36.42578125" style="209" customWidth="1"/>
    <col min="2834" max="3072" width="9.140625" style="209"/>
    <col min="3073" max="3073" width="6.42578125" style="209" customWidth="1"/>
    <col min="3074" max="3074" width="50.85546875" style="209" customWidth="1"/>
    <col min="3075" max="3075" width="10.140625" style="209" customWidth="1"/>
    <col min="3076" max="3076" width="14.28515625" style="209" customWidth="1"/>
    <col min="3077" max="3078" width="14.5703125" style="209" customWidth="1"/>
    <col min="3079" max="3079" width="11.28515625" style="209" customWidth="1"/>
    <col min="3080" max="3080" width="12.140625" style="209" customWidth="1"/>
    <col min="3081" max="3081" width="10.28515625" style="209" customWidth="1"/>
    <col min="3082" max="3082" width="7" style="209" customWidth="1"/>
    <col min="3083" max="3083" width="7.28515625" style="209" customWidth="1"/>
    <col min="3084" max="3084" width="9.140625" style="209" customWidth="1"/>
    <col min="3085" max="3085" width="9.7109375" style="209" customWidth="1"/>
    <col min="3086" max="3086" width="10.28515625" style="209" customWidth="1"/>
    <col min="3087" max="3087" width="12.140625" style="209" customWidth="1"/>
    <col min="3088" max="3088" width="0.42578125" style="209" customWidth="1"/>
    <col min="3089" max="3089" width="36.42578125" style="209" customWidth="1"/>
    <col min="3090" max="3328" width="9.140625" style="209"/>
    <col min="3329" max="3329" width="6.42578125" style="209" customWidth="1"/>
    <col min="3330" max="3330" width="50.85546875" style="209" customWidth="1"/>
    <col min="3331" max="3331" width="10.140625" style="209" customWidth="1"/>
    <col min="3332" max="3332" width="14.28515625" style="209" customWidth="1"/>
    <col min="3333" max="3334" width="14.5703125" style="209" customWidth="1"/>
    <col min="3335" max="3335" width="11.28515625" style="209" customWidth="1"/>
    <col min="3336" max="3336" width="12.140625" style="209" customWidth="1"/>
    <col min="3337" max="3337" width="10.28515625" style="209" customWidth="1"/>
    <col min="3338" max="3338" width="7" style="209" customWidth="1"/>
    <col min="3339" max="3339" width="7.28515625" style="209" customWidth="1"/>
    <col min="3340" max="3340" width="9.140625" style="209" customWidth="1"/>
    <col min="3341" max="3341" width="9.7109375" style="209" customWidth="1"/>
    <col min="3342" max="3342" width="10.28515625" style="209" customWidth="1"/>
    <col min="3343" max="3343" width="12.140625" style="209" customWidth="1"/>
    <col min="3344" max="3344" width="0.42578125" style="209" customWidth="1"/>
    <col min="3345" max="3345" width="36.42578125" style="209" customWidth="1"/>
    <col min="3346" max="3584" width="9.140625" style="209"/>
    <col min="3585" max="3585" width="6.42578125" style="209" customWidth="1"/>
    <col min="3586" max="3586" width="50.85546875" style="209" customWidth="1"/>
    <col min="3587" max="3587" width="10.140625" style="209" customWidth="1"/>
    <col min="3588" max="3588" width="14.28515625" style="209" customWidth="1"/>
    <col min="3589" max="3590" width="14.5703125" style="209" customWidth="1"/>
    <col min="3591" max="3591" width="11.28515625" style="209" customWidth="1"/>
    <col min="3592" max="3592" width="12.140625" style="209" customWidth="1"/>
    <col min="3593" max="3593" width="10.28515625" style="209" customWidth="1"/>
    <col min="3594" max="3594" width="7" style="209" customWidth="1"/>
    <col min="3595" max="3595" width="7.28515625" style="209" customWidth="1"/>
    <col min="3596" max="3596" width="9.140625" style="209" customWidth="1"/>
    <col min="3597" max="3597" width="9.7109375" style="209" customWidth="1"/>
    <col min="3598" max="3598" width="10.28515625" style="209" customWidth="1"/>
    <col min="3599" max="3599" width="12.140625" style="209" customWidth="1"/>
    <col min="3600" max="3600" width="0.42578125" style="209" customWidth="1"/>
    <col min="3601" max="3601" width="36.42578125" style="209" customWidth="1"/>
    <col min="3602" max="3840" width="9.140625" style="209"/>
    <col min="3841" max="3841" width="6.42578125" style="209" customWidth="1"/>
    <col min="3842" max="3842" width="50.85546875" style="209" customWidth="1"/>
    <col min="3843" max="3843" width="10.140625" style="209" customWidth="1"/>
    <col min="3844" max="3844" width="14.28515625" style="209" customWidth="1"/>
    <col min="3845" max="3846" width="14.5703125" style="209" customWidth="1"/>
    <col min="3847" max="3847" width="11.28515625" style="209" customWidth="1"/>
    <col min="3848" max="3848" width="12.140625" style="209" customWidth="1"/>
    <col min="3849" max="3849" width="10.28515625" style="209" customWidth="1"/>
    <col min="3850" max="3850" width="7" style="209" customWidth="1"/>
    <col min="3851" max="3851" width="7.28515625" style="209" customWidth="1"/>
    <col min="3852" max="3852" width="9.140625" style="209" customWidth="1"/>
    <col min="3853" max="3853" width="9.7109375" style="209" customWidth="1"/>
    <col min="3854" max="3854" width="10.28515625" style="209" customWidth="1"/>
    <col min="3855" max="3855" width="12.140625" style="209" customWidth="1"/>
    <col min="3856" max="3856" width="0.42578125" style="209" customWidth="1"/>
    <col min="3857" max="3857" width="36.42578125" style="209" customWidth="1"/>
    <col min="3858" max="4096" width="9.140625" style="209"/>
    <col min="4097" max="4097" width="6.42578125" style="209" customWidth="1"/>
    <col min="4098" max="4098" width="50.85546875" style="209" customWidth="1"/>
    <col min="4099" max="4099" width="10.140625" style="209" customWidth="1"/>
    <col min="4100" max="4100" width="14.28515625" style="209" customWidth="1"/>
    <col min="4101" max="4102" width="14.5703125" style="209" customWidth="1"/>
    <col min="4103" max="4103" width="11.28515625" style="209" customWidth="1"/>
    <col min="4104" max="4104" width="12.140625" style="209" customWidth="1"/>
    <col min="4105" max="4105" width="10.28515625" style="209" customWidth="1"/>
    <col min="4106" max="4106" width="7" style="209" customWidth="1"/>
    <col min="4107" max="4107" width="7.28515625" style="209" customWidth="1"/>
    <col min="4108" max="4108" width="9.140625" style="209" customWidth="1"/>
    <col min="4109" max="4109" width="9.7109375" style="209" customWidth="1"/>
    <col min="4110" max="4110" width="10.28515625" style="209" customWidth="1"/>
    <col min="4111" max="4111" width="12.140625" style="209" customWidth="1"/>
    <col min="4112" max="4112" width="0.42578125" style="209" customWidth="1"/>
    <col min="4113" max="4113" width="36.42578125" style="209" customWidth="1"/>
    <col min="4114" max="4352" width="9.140625" style="209"/>
    <col min="4353" max="4353" width="6.42578125" style="209" customWidth="1"/>
    <col min="4354" max="4354" width="50.85546875" style="209" customWidth="1"/>
    <col min="4355" max="4355" width="10.140625" style="209" customWidth="1"/>
    <col min="4356" max="4356" width="14.28515625" style="209" customWidth="1"/>
    <col min="4357" max="4358" width="14.5703125" style="209" customWidth="1"/>
    <col min="4359" max="4359" width="11.28515625" style="209" customWidth="1"/>
    <col min="4360" max="4360" width="12.140625" style="209" customWidth="1"/>
    <col min="4361" max="4361" width="10.28515625" style="209" customWidth="1"/>
    <col min="4362" max="4362" width="7" style="209" customWidth="1"/>
    <col min="4363" max="4363" width="7.28515625" style="209" customWidth="1"/>
    <col min="4364" max="4364" width="9.140625" style="209" customWidth="1"/>
    <col min="4365" max="4365" width="9.7109375" style="209" customWidth="1"/>
    <col min="4366" max="4366" width="10.28515625" style="209" customWidth="1"/>
    <col min="4367" max="4367" width="12.140625" style="209" customWidth="1"/>
    <col min="4368" max="4368" width="0.42578125" style="209" customWidth="1"/>
    <col min="4369" max="4369" width="36.42578125" style="209" customWidth="1"/>
    <col min="4370" max="4608" width="9.140625" style="209"/>
    <col min="4609" max="4609" width="6.42578125" style="209" customWidth="1"/>
    <col min="4610" max="4610" width="50.85546875" style="209" customWidth="1"/>
    <col min="4611" max="4611" width="10.140625" style="209" customWidth="1"/>
    <col min="4612" max="4612" width="14.28515625" style="209" customWidth="1"/>
    <col min="4613" max="4614" width="14.5703125" style="209" customWidth="1"/>
    <col min="4615" max="4615" width="11.28515625" style="209" customWidth="1"/>
    <col min="4616" max="4616" width="12.140625" style="209" customWidth="1"/>
    <col min="4617" max="4617" width="10.28515625" style="209" customWidth="1"/>
    <col min="4618" max="4618" width="7" style="209" customWidth="1"/>
    <col min="4619" max="4619" width="7.28515625" style="209" customWidth="1"/>
    <col min="4620" max="4620" width="9.140625" style="209" customWidth="1"/>
    <col min="4621" max="4621" width="9.7109375" style="209" customWidth="1"/>
    <col min="4622" max="4622" width="10.28515625" style="209" customWidth="1"/>
    <col min="4623" max="4623" width="12.140625" style="209" customWidth="1"/>
    <col min="4624" max="4624" width="0.42578125" style="209" customWidth="1"/>
    <col min="4625" max="4625" width="36.42578125" style="209" customWidth="1"/>
    <col min="4626" max="4864" width="9.140625" style="209"/>
    <col min="4865" max="4865" width="6.42578125" style="209" customWidth="1"/>
    <col min="4866" max="4866" width="50.85546875" style="209" customWidth="1"/>
    <col min="4867" max="4867" width="10.140625" style="209" customWidth="1"/>
    <col min="4868" max="4868" width="14.28515625" style="209" customWidth="1"/>
    <col min="4869" max="4870" width="14.5703125" style="209" customWidth="1"/>
    <col min="4871" max="4871" width="11.28515625" style="209" customWidth="1"/>
    <col min="4872" max="4872" width="12.140625" style="209" customWidth="1"/>
    <col min="4873" max="4873" width="10.28515625" style="209" customWidth="1"/>
    <col min="4874" max="4874" width="7" style="209" customWidth="1"/>
    <col min="4875" max="4875" width="7.28515625" style="209" customWidth="1"/>
    <col min="4876" max="4876" width="9.140625" style="209" customWidth="1"/>
    <col min="4877" max="4877" width="9.7109375" style="209" customWidth="1"/>
    <col min="4878" max="4878" width="10.28515625" style="209" customWidth="1"/>
    <col min="4879" max="4879" width="12.140625" style="209" customWidth="1"/>
    <col min="4880" max="4880" width="0.42578125" style="209" customWidth="1"/>
    <col min="4881" max="4881" width="36.42578125" style="209" customWidth="1"/>
    <col min="4882" max="5120" width="9.140625" style="209"/>
    <col min="5121" max="5121" width="6.42578125" style="209" customWidth="1"/>
    <col min="5122" max="5122" width="50.85546875" style="209" customWidth="1"/>
    <col min="5123" max="5123" width="10.140625" style="209" customWidth="1"/>
    <col min="5124" max="5124" width="14.28515625" style="209" customWidth="1"/>
    <col min="5125" max="5126" width="14.5703125" style="209" customWidth="1"/>
    <col min="5127" max="5127" width="11.28515625" style="209" customWidth="1"/>
    <col min="5128" max="5128" width="12.140625" style="209" customWidth="1"/>
    <col min="5129" max="5129" width="10.28515625" style="209" customWidth="1"/>
    <col min="5130" max="5130" width="7" style="209" customWidth="1"/>
    <col min="5131" max="5131" width="7.28515625" style="209" customWidth="1"/>
    <col min="5132" max="5132" width="9.140625" style="209" customWidth="1"/>
    <col min="5133" max="5133" width="9.7109375" style="209" customWidth="1"/>
    <col min="5134" max="5134" width="10.28515625" style="209" customWidth="1"/>
    <col min="5135" max="5135" width="12.140625" style="209" customWidth="1"/>
    <col min="5136" max="5136" width="0.42578125" style="209" customWidth="1"/>
    <col min="5137" max="5137" width="36.42578125" style="209" customWidth="1"/>
    <col min="5138" max="5376" width="9.140625" style="209"/>
    <col min="5377" max="5377" width="6.42578125" style="209" customWidth="1"/>
    <col min="5378" max="5378" width="50.85546875" style="209" customWidth="1"/>
    <col min="5379" max="5379" width="10.140625" style="209" customWidth="1"/>
    <col min="5380" max="5380" width="14.28515625" style="209" customWidth="1"/>
    <col min="5381" max="5382" width="14.5703125" style="209" customWidth="1"/>
    <col min="5383" max="5383" width="11.28515625" style="209" customWidth="1"/>
    <col min="5384" max="5384" width="12.140625" style="209" customWidth="1"/>
    <col min="5385" max="5385" width="10.28515625" style="209" customWidth="1"/>
    <col min="5386" max="5386" width="7" style="209" customWidth="1"/>
    <col min="5387" max="5387" width="7.28515625" style="209" customWidth="1"/>
    <col min="5388" max="5388" width="9.140625" style="209" customWidth="1"/>
    <col min="5389" max="5389" width="9.7109375" style="209" customWidth="1"/>
    <col min="5390" max="5390" width="10.28515625" style="209" customWidth="1"/>
    <col min="5391" max="5391" width="12.140625" style="209" customWidth="1"/>
    <col min="5392" max="5392" width="0.42578125" style="209" customWidth="1"/>
    <col min="5393" max="5393" width="36.42578125" style="209" customWidth="1"/>
    <col min="5394" max="5632" width="9.140625" style="209"/>
    <col min="5633" max="5633" width="6.42578125" style="209" customWidth="1"/>
    <col min="5634" max="5634" width="50.85546875" style="209" customWidth="1"/>
    <col min="5635" max="5635" width="10.140625" style="209" customWidth="1"/>
    <col min="5636" max="5636" width="14.28515625" style="209" customWidth="1"/>
    <col min="5637" max="5638" width="14.5703125" style="209" customWidth="1"/>
    <col min="5639" max="5639" width="11.28515625" style="209" customWidth="1"/>
    <col min="5640" max="5640" width="12.140625" style="209" customWidth="1"/>
    <col min="5641" max="5641" width="10.28515625" style="209" customWidth="1"/>
    <col min="5642" max="5642" width="7" style="209" customWidth="1"/>
    <col min="5643" max="5643" width="7.28515625" style="209" customWidth="1"/>
    <col min="5644" max="5644" width="9.140625" style="209" customWidth="1"/>
    <col min="5645" max="5645" width="9.7109375" style="209" customWidth="1"/>
    <col min="5646" max="5646" width="10.28515625" style="209" customWidth="1"/>
    <col min="5647" max="5647" width="12.140625" style="209" customWidth="1"/>
    <col min="5648" max="5648" width="0.42578125" style="209" customWidth="1"/>
    <col min="5649" max="5649" width="36.42578125" style="209" customWidth="1"/>
    <col min="5650" max="5888" width="9.140625" style="209"/>
    <col min="5889" max="5889" width="6.42578125" style="209" customWidth="1"/>
    <col min="5890" max="5890" width="50.85546875" style="209" customWidth="1"/>
    <col min="5891" max="5891" width="10.140625" style="209" customWidth="1"/>
    <col min="5892" max="5892" width="14.28515625" style="209" customWidth="1"/>
    <col min="5893" max="5894" width="14.5703125" style="209" customWidth="1"/>
    <col min="5895" max="5895" width="11.28515625" style="209" customWidth="1"/>
    <col min="5896" max="5896" width="12.140625" style="209" customWidth="1"/>
    <col min="5897" max="5897" width="10.28515625" style="209" customWidth="1"/>
    <col min="5898" max="5898" width="7" style="209" customWidth="1"/>
    <col min="5899" max="5899" width="7.28515625" style="209" customWidth="1"/>
    <col min="5900" max="5900" width="9.140625" style="209" customWidth="1"/>
    <col min="5901" max="5901" width="9.7109375" style="209" customWidth="1"/>
    <col min="5902" max="5902" width="10.28515625" style="209" customWidth="1"/>
    <col min="5903" max="5903" width="12.140625" style="209" customWidth="1"/>
    <col min="5904" max="5904" width="0.42578125" style="209" customWidth="1"/>
    <col min="5905" max="5905" width="36.42578125" style="209" customWidth="1"/>
    <col min="5906" max="6144" width="9.140625" style="209"/>
    <col min="6145" max="6145" width="6.42578125" style="209" customWidth="1"/>
    <col min="6146" max="6146" width="50.85546875" style="209" customWidth="1"/>
    <col min="6147" max="6147" width="10.140625" style="209" customWidth="1"/>
    <col min="6148" max="6148" width="14.28515625" style="209" customWidth="1"/>
    <col min="6149" max="6150" width="14.5703125" style="209" customWidth="1"/>
    <col min="6151" max="6151" width="11.28515625" style="209" customWidth="1"/>
    <col min="6152" max="6152" width="12.140625" style="209" customWidth="1"/>
    <col min="6153" max="6153" width="10.28515625" style="209" customWidth="1"/>
    <col min="6154" max="6154" width="7" style="209" customWidth="1"/>
    <col min="6155" max="6155" width="7.28515625" style="209" customWidth="1"/>
    <col min="6156" max="6156" width="9.140625" style="209" customWidth="1"/>
    <col min="6157" max="6157" width="9.7109375" style="209" customWidth="1"/>
    <col min="6158" max="6158" width="10.28515625" style="209" customWidth="1"/>
    <col min="6159" max="6159" width="12.140625" style="209" customWidth="1"/>
    <col min="6160" max="6160" width="0.42578125" style="209" customWidth="1"/>
    <col min="6161" max="6161" width="36.42578125" style="209" customWidth="1"/>
    <col min="6162" max="6400" width="9.140625" style="209"/>
    <col min="6401" max="6401" width="6.42578125" style="209" customWidth="1"/>
    <col min="6402" max="6402" width="50.85546875" style="209" customWidth="1"/>
    <col min="6403" max="6403" width="10.140625" style="209" customWidth="1"/>
    <col min="6404" max="6404" width="14.28515625" style="209" customWidth="1"/>
    <col min="6405" max="6406" width="14.5703125" style="209" customWidth="1"/>
    <col min="6407" max="6407" width="11.28515625" style="209" customWidth="1"/>
    <col min="6408" max="6408" width="12.140625" style="209" customWidth="1"/>
    <col min="6409" max="6409" width="10.28515625" style="209" customWidth="1"/>
    <col min="6410" max="6410" width="7" style="209" customWidth="1"/>
    <col min="6411" max="6411" width="7.28515625" style="209" customWidth="1"/>
    <col min="6412" max="6412" width="9.140625" style="209" customWidth="1"/>
    <col min="6413" max="6413" width="9.7109375" style="209" customWidth="1"/>
    <col min="6414" max="6414" width="10.28515625" style="209" customWidth="1"/>
    <col min="6415" max="6415" width="12.140625" style="209" customWidth="1"/>
    <col min="6416" max="6416" width="0.42578125" style="209" customWidth="1"/>
    <col min="6417" max="6417" width="36.42578125" style="209" customWidth="1"/>
    <col min="6418" max="6656" width="9.140625" style="209"/>
    <col min="6657" max="6657" width="6.42578125" style="209" customWidth="1"/>
    <col min="6658" max="6658" width="50.85546875" style="209" customWidth="1"/>
    <col min="6659" max="6659" width="10.140625" style="209" customWidth="1"/>
    <col min="6660" max="6660" width="14.28515625" style="209" customWidth="1"/>
    <col min="6661" max="6662" width="14.5703125" style="209" customWidth="1"/>
    <col min="6663" max="6663" width="11.28515625" style="209" customWidth="1"/>
    <col min="6664" max="6664" width="12.140625" style="209" customWidth="1"/>
    <col min="6665" max="6665" width="10.28515625" style="209" customWidth="1"/>
    <col min="6666" max="6666" width="7" style="209" customWidth="1"/>
    <col min="6667" max="6667" width="7.28515625" style="209" customWidth="1"/>
    <col min="6668" max="6668" width="9.140625" style="209" customWidth="1"/>
    <col min="6669" max="6669" width="9.7109375" style="209" customWidth="1"/>
    <col min="6670" max="6670" width="10.28515625" style="209" customWidth="1"/>
    <col min="6671" max="6671" width="12.140625" style="209" customWidth="1"/>
    <col min="6672" max="6672" width="0.42578125" style="209" customWidth="1"/>
    <col min="6673" max="6673" width="36.42578125" style="209" customWidth="1"/>
    <col min="6674" max="6912" width="9.140625" style="209"/>
    <col min="6913" max="6913" width="6.42578125" style="209" customWidth="1"/>
    <col min="6914" max="6914" width="50.85546875" style="209" customWidth="1"/>
    <col min="6915" max="6915" width="10.140625" style="209" customWidth="1"/>
    <col min="6916" max="6916" width="14.28515625" style="209" customWidth="1"/>
    <col min="6917" max="6918" width="14.5703125" style="209" customWidth="1"/>
    <col min="6919" max="6919" width="11.28515625" style="209" customWidth="1"/>
    <col min="6920" max="6920" width="12.140625" style="209" customWidth="1"/>
    <col min="6921" max="6921" width="10.28515625" style="209" customWidth="1"/>
    <col min="6922" max="6922" width="7" style="209" customWidth="1"/>
    <col min="6923" max="6923" width="7.28515625" style="209" customWidth="1"/>
    <col min="6924" max="6924" width="9.140625" style="209" customWidth="1"/>
    <col min="6925" max="6925" width="9.7109375" style="209" customWidth="1"/>
    <col min="6926" max="6926" width="10.28515625" style="209" customWidth="1"/>
    <col min="6927" max="6927" width="12.140625" style="209" customWidth="1"/>
    <col min="6928" max="6928" width="0.42578125" style="209" customWidth="1"/>
    <col min="6929" max="6929" width="36.42578125" style="209" customWidth="1"/>
    <col min="6930" max="7168" width="9.140625" style="209"/>
    <col min="7169" max="7169" width="6.42578125" style="209" customWidth="1"/>
    <col min="7170" max="7170" width="50.85546875" style="209" customWidth="1"/>
    <col min="7171" max="7171" width="10.140625" style="209" customWidth="1"/>
    <col min="7172" max="7172" width="14.28515625" style="209" customWidth="1"/>
    <col min="7173" max="7174" width="14.5703125" style="209" customWidth="1"/>
    <col min="7175" max="7175" width="11.28515625" style="209" customWidth="1"/>
    <col min="7176" max="7176" width="12.140625" style="209" customWidth="1"/>
    <col min="7177" max="7177" width="10.28515625" style="209" customWidth="1"/>
    <col min="7178" max="7178" width="7" style="209" customWidth="1"/>
    <col min="7179" max="7179" width="7.28515625" style="209" customWidth="1"/>
    <col min="7180" max="7180" width="9.140625" style="209" customWidth="1"/>
    <col min="7181" max="7181" width="9.7109375" style="209" customWidth="1"/>
    <col min="7182" max="7182" width="10.28515625" style="209" customWidth="1"/>
    <col min="7183" max="7183" width="12.140625" style="209" customWidth="1"/>
    <col min="7184" max="7184" width="0.42578125" style="209" customWidth="1"/>
    <col min="7185" max="7185" width="36.42578125" style="209" customWidth="1"/>
    <col min="7186" max="7424" width="9.140625" style="209"/>
    <col min="7425" max="7425" width="6.42578125" style="209" customWidth="1"/>
    <col min="7426" max="7426" width="50.85546875" style="209" customWidth="1"/>
    <col min="7427" max="7427" width="10.140625" style="209" customWidth="1"/>
    <col min="7428" max="7428" width="14.28515625" style="209" customWidth="1"/>
    <col min="7429" max="7430" width="14.5703125" style="209" customWidth="1"/>
    <col min="7431" max="7431" width="11.28515625" style="209" customWidth="1"/>
    <col min="7432" max="7432" width="12.140625" style="209" customWidth="1"/>
    <col min="7433" max="7433" width="10.28515625" style="209" customWidth="1"/>
    <col min="7434" max="7434" width="7" style="209" customWidth="1"/>
    <col min="7435" max="7435" width="7.28515625" style="209" customWidth="1"/>
    <col min="7436" max="7436" width="9.140625" style="209" customWidth="1"/>
    <col min="7437" max="7437" width="9.7109375" style="209" customWidth="1"/>
    <col min="7438" max="7438" width="10.28515625" style="209" customWidth="1"/>
    <col min="7439" max="7439" width="12.140625" style="209" customWidth="1"/>
    <col min="7440" max="7440" width="0.42578125" style="209" customWidth="1"/>
    <col min="7441" max="7441" width="36.42578125" style="209" customWidth="1"/>
    <col min="7442" max="7680" width="9.140625" style="209"/>
    <col min="7681" max="7681" width="6.42578125" style="209" customWidth="1"/>
    <col min="7682" max="7682" width="50.85546875" style="209" customWidth="1"/>
    <col min="7683" max="7683" width="10.140625" style="209" customWidth="1"/>
    <col min="7684" max="7684" width="14.28515625" style="209" customWidth="1"/>
    <col min="7685" max="7686" width="14.5703125" style="209" customWidth="1"/>
    <col min="7687" max="7687" width="11.28515625" style="209" customWidth="1"/>
    <col min="7688" max="7688" width="12.140625" style="209" customWidth="1"/>
    <col min="7689" max="7689" width="10.28515625" style="209" customWidth="1"/>
    <col min="7690" max="7690" width="7" style="209" customWidth="1"/>
    <col min="7691" max="7691" width="7.28515625" style="209" customWidth="1"/>
    <col min="7692" max="7692" width="9.140625" style="209" customWidth="1"/>
    <col min="7693" max="7693" width="9.7109375" style="209" customWidth="1"/>
    <col min="7694" max="7694" width="10.28515625" style="209" customWidth="1"/>
    <col min="7695" max="7695" width="12.140625" style="209" customWidth="1"/>
    <col min="7696" max="7696" width="0.42578125" style="209" customWidth="1"/>
    <col min="7697" max="7697" width="36.42578125" style="209" customWidth="1"/>
    <col min="7698" max="7936" width="9.140625" style="209"/>
    <col min="7937" max="7937" width="6.42578125" style="209" customWidth="1"/>
    <col min="7938" max="7938" width="50.85546875" style="209" customWidth="1"/>
    <col min="7939" max="7939" width="10.140625" style="209" customWidth="1"/>
    <col min="7940" max="7940" width="14.28515625" style="209" customWidth="1"/>
    <col min="7941" max="7942" width="14.5703125" style="209" customWidth="1"/>
    <col min="7943" max="7943" width="11.28515625" style="209" customWidth="1"/>
    <col min="7944" max="7944" width="12.140625" style="209" customWidth="1"/>
    <col min="7945" max="7945" width="10.28515625" style="209" customWidth="1"/>
    <col min="7946" max="7946" width="7" style="209" customWidth="1"/>
    <col min="7947" max="7947" width="7.28515625" style="209" customWidth="1"/>
    <col min="7948" max="7948" width="9.140625" style="209" customWidth="1"/>
    <col min="7949" max="7949" width="9.7109375" style="209" customWidth="1"/>
    <col min="7950" max="7950" width="10.28515625" style="209" customWidth="1"/>
    <col min="7951" max="7951" width="12.140625" style="209" customWidth="1"/>
    <col min="7952" max="7952" width="0.42578125" style="209" customWidth="1"/>
    <col min="7953" max="7953" width="36.42578125" style="209" customWidth="1"/>
    <col min="7954" max="8192" width="9.140625" style="209"/>
    <col min="8193" max="8193" width="6.42578125" style="209" customWidth="1"/>
    <col min="8194" max="8194" width="50.85546875" style="209" customWidth="1"/>
    <col min="8195" max="8195" width="10.140625" style="209" customWidth="1"/>
    <col min="8196" max="8196" width="14.28515625" style="209" customWidth="1"/>
    <col min="8197" max="8198" width="14.5703125" style="209" customWidth="1"/>
    <col min="8199" max="8199" width="11.28515625" style="209" customWidth="1"/>
    <col min="8200" max="8200" width="12.140625" style="209" customWidth="1"/>
    <col min="8201" max="8201" width="10.28515625" style="209" customWidth="1"/>
    <col min="8202" max="8202" width="7" style="209" customWidth="1"/>
    <col min="8203" max="8203" width="7.28515625" style="209" customWidth="1"/>
    <col min="8204" max="8204" width="9.140625" style="209" customWidth="1"/>
    <col min="8205" max="8205" width="9.7109375" style="209" customWidth="1"/>
    <col min="8206" max="8206" width="10.28515625" style="209" customWidth="1"/>
    <col min="8207" max="8207" width="12.140625" style="209" customWidth="1"/>
    <col min="8208" max="8208" width="0.42578125" style="209" customWidth="1"/>
    <col min="8209" max="8209" width="36.42578125" style="209" customWidth="1"/>
    <col min="8210" max="8448" width="9.140625" style="209"/>
    <col min="8449" max="8449" width="6.42578125" style="209" customWidth="1"/>
    <col min="8450" max="8450" width="50.85546875" style="209" customWidth="1"/>
    <col min="8451" max="8451" width="10.140625" style="209" customWidth="1"/>
    <col min="8452" max="8452" width="14.28515625" style="209" customWidth="1"/>
    <col min="8453" max="8454" width="14.5703125" style="209" customWidth="1"/>
    <col min="8455" max="8455" width="11.28515625" style="209" customWidth="1"/>
    <col min="8456" max="8456" width="12.140625" style="209" customWidth="1"/>
    <col min="8457" max="8457" width="10.28515625" style="209" customWidth="1"/>
    <col min="8458" max="8458" width="7" style="209" customWidth="1"/>
    <col min="8459" max="8459" width="7.28515625" style="209" customWidth="1"/>
    <col min="8460" max="8460" width="9.140625" style="209" customWidth="1"/>
    <col min="8461" max="8461" width="9.7109375" style="209" customWidth="1"/>
    <col min="8462" max="8462" width="10.28515625" style="209" customWidth="1"/>
    <col min="8463" max="8463" width="12.140625" style="209" customWidth="1"/>
    <col min="8464" max="8464" width="0.42578125" style="209" customWidth="1"/>
    <col min="8465" max="8465" width="36.42578125" style="209" customWidth="1"/>
    <col min="8466" max="8704" width="9.140625" style="209"/>
    <col min="8705" max="8705" width="6.42578125" style="209" customWidth="1"/>
    <col min="8706" max="8706" width="50.85546875" style="209" customWidth="1"/>
    <col min="8707" max="8707" width="10.140625" style="209" customWidth="1"/>
    <col min="8708" max="8708" width="14.28515625" style="209" customWidth="1"/>
    <col min="8709" max="8710" width="14.5703125" style="209" customWidth="1"/>
    <col min="8711" max="8711" width="11.28515625" style="209" customWidth="1"/>
    <col min="8712" max="8712" width="12.140625" style="209" customWidth="1"/>
    <col min="8713" max="8713" width="10.28515625" style="209" customWidth="1"/>
    <col min="8714" max="8714" width="7" style="209" customWidth="1"/>
    <col min="8715" max="8715" width="7.28515625" style="209" customWidth="1"/>
    <col min="8716" max="8716" width="9.140625" style="209" customWidth="1"/>
    <col min="8717" max="8717" width="9.7109375" style="209" customWidth="1"/>
    <col min="8718" max="8718" width="10.28515625" style="209" customWidth="1"/>
    <col min="8719" max="8719" width="12.140625" style="209" customWidth="1"/>
    <col min="8720" max="8720" width="0.42578125" style="209" customWidth="1"/>
    <col min="8721" max="8721" width="36.42578125" style="209" customWidth="1"/>
    <col min="8722" max="8960" width="9.140625" style="209"/>
    <col min="8961" max="8961" width="6.42578125" style="209" customWidth="1"/>
    <col min="8962" max="8962" width="50.85546875" style="209" customWidth="1"/>
    <col min="8963" max="8963" width="10.140625" style="209" customWidth="1"/>
    <col min="8964" max="8964" width="14.28515625" style="209" customWidth="1"/>
    <col min="8965" max="8966" width="14.5703125" style="209" customWidth="1"/>
    <col min="8967" max="8967" width="11.28515625" style="209" customWidth="1"/>
    <col min="8968" max="8968" width="12.140625" style="209" customWidth="1"/>
    <col min="8969" max="8969" width="10.28515625" style="209" customWidth="1"/>
    <col min="8970" max="8970" width="7" style="209" customWidth="1"/>
    <col min="8971" max="8971" width="7.28515625" style="209" customWidth="1"/>
    <col min="8972" max="8972" width="9.140625" style="209" customWidth="1"/>
    <col min="8973" max="8973" width="9.7109375" style="209" customWidth="1"/>
    <col min="8974" max="8974" width="10.28515625" style="209" customWidth="1"/>
    <col min="8975" max="8975" width="12.140625" style="209" customWidth="1"/>
    <col min="8976" max="8976" width="0.42578125" style="209" customWidth="1"/>
    <col min="8977" max="8977" width="36.42578125" style="209" customWidth="1"/>
    <col min="8978" max="9216" width="9.140625" style="209"/>
    <col min="9217" max="9217" width="6.42578125" style="209" customWidth="1"/>
    <col min="9218" max="9218" width="50.85546875" style="209" customWidth="1"/>
    <col min="9219" max="9219" width="10.140625" style="209" customWidth="1"/>
    <col min="9220" max="9220" width="14.28515625" style="209" customWidth="1"/>
    <col min="9221" max="9222" width="14.5703125" style="209" customWidth="1"/>
    <col min="9223" max="9223" width="11.28515625" style="209" customWidth="1"/>
    <col min="9224" max="9224" width="12.140625" style="209" customWidth="1"/>
    <col min="9225" max="9225" width="10.28515625" style="209" customWidth="1"/>
    <col min="9226" max="9226" width="7" style="209" customWidth="1"/>
    <col min="9227" max="9227" width="7.28515625" style="209" customWidth="1"/>
    <col min="9228" max="9228" width="9.140625" style="209" customWidth="1"/>
    <col min="9229" max="9229" width="9.7109375" style="209" customWidth="1"/>
    <col min="9230" max="9230" width="10.28515625" style="209" customWidth="1"/>
    <col min="9231" max="9231" width="12.140625" style="209" customWidth="1"/>
    <col min="9232" max="9232" width="0.42578125" style="209" customWidth="1"/>
    <col min="9233" max="9233" width="36.42578125" style="209" customWidth="1"/>
    <col min="9234" max="9472" width="9.140625" style="209"/>
    <col min="9473" max="9473" width="6.42578125" style="209" customWidth="1"/>
    <col min="9474" max="9474" width="50.85546875" style="209" customWidth="1"/>
    <col min="9475" max="9475" width="10.140625" style="209" customWidth="1"/>
    <col min="9476" max="9476" width="14.28515625" style="209" customWidth="1"/>
    <col min="9477" max="9478" width="14.5703125" style="209" customWidth="1"/>
    <col min="9479" max="9479" width="11.28515625" style="209" customWidth="1"/>
    <col min="9480" max="9480" width="12.140625" style="209" customWidth="1"/>
    <col min="9481" max="9481" width="10.28515625" style="209" customWidth="1"/>
    <col min="9482" max="9482" width="7" style="209" customWidth="1"/>
    <col min="9483" max="9483" width="7.28515625" style="209" customWidth="1"/>
    <col min="9484" max="9484" width="9.140625" style="209" customWidth="1"/>
    <col min="9485" max="9485" width="9.7109375" style="209" customWidth="1"/>
    <col min="9486" max="9486" width="10.28515625" style="209" customWidth="1"/>
    <col min="9487" max="9487" width="12.140625" style="209" customWidth="1"/>
    <col min="9488" max="9488" width="0.42578125" style="209" customWidth="1"/>
    <col min="9489" max="9489" width="36.42578125" style="209" customWidth="1"/>
    <col min="9490" max="9728" width="9.140625" style="209"/>
    <col min="9729" max="9729" width="6.42578125" style="209" customWidth="1"/>
    <col min="9730" max="9730" width="50.85546875" style="209" customWidth="1"/>
    <col min="9731" max="9731" width="10.140625" style="209" customWidth="1"/>
    <col min="9732" max="9732" width="14.28515625" style="209" customWidth="1"/>
    <col min="9733" max="9734" width="14.5703125" style="209" customWidth="1"/>
    <col min="9735" max="9735" width="11.28515625" style="209" customWidth="1"/>
    <col min="9736" max="9736" width="12.140625" style="209" customWidth="1"/>
    <col min="9737" max="9737" width="10.28515625" style="209" customWidth="1"/>
    <col min="9738" max="9738" width="7" style="209" customWidth="1"/>
    <col min="9739" max="9739" width="7.28515625" style="209" customWidth="1"/>
    <col min="9740" max="9740" width="9.140625" style="209" customWidth="1"/>
    <col min="9741" max="9741" width="9.7109375" style="209" customWidth="1"/>
    <col min="9742" max="9742" width="10.28515625" style="209" customWidth="1"/>
    <col min="9743" max="9743" width="12.140625" style="209" customWidth="1"/>
    <col min="9744" max="9744" width="0.42578125" style="209" customWidth="1"/>
    <col min="9745" max="9745" width="36.42578125" style="209" customWidth="1"/>
    <col min="9746" max="9984" width="9.140625" style="209"/>
    <col min="9985" max="9985" width="6.42578125" style="209" customWidth="1"/>
    <col min="9986" max="9986" width="50.85546875" style="209" customWidth="1"/>
    <col min="9987" max="9987" width="10.140625" style="209" customWidth="1"/>
    <col min="9988" max="9988" width="14.28515625" style="209" customWidth="1"/>
    <col min="9989" max="9990" width="14.5703125" style="209" customWidth="1"/>
    <col min="9991" max="9991" width="11.28515625" style="209" customWidth="1"/>
    <col min="9992" max="9992" width="12.140625" style="209" customWidth="1"/>
    <col min="9993" max="9993" width="10.28515625" style="209" customWidth="1"/>
    <col min="9994" max="9994" width="7" style="209" customWidth="1"/>
    <col min="9995" max="9995" width="7.28515625" style="209" customWidth="1"/>
    <col min="9996" max="9996" width="9.140625" style="209" customWidth="1"/>
    <col min="9997" max="9997" width="9.7109375" style="209" customWidth="1"/>
    <col min="9998" max="9998" width="10.28515625" style="209" customWidth="1"/>
    <col min="9999" max="9999" width="12.140625" style="209" customWidth="1"/>
    <col min="10000" max="10000" width="0.42578125" style="209" customWidth="1"/>
    <col min="10001" max="10001" width="36.42578125" style="209" customWidth="1"/>
    <col min="10002" max="10240" width="9.140625" style="209"/>
    <col min="10241" max="10241" width="6.42578125" style="209" customWidth="1"/>
    <col min="10242" max="10242" width="50.85546875" style="209" customWidth="1"/>
    <col min="10243" max="10243" width="10.140625" style="209" customWidth="1"/>
    <col min="10244" max="10244" width="14.28515625" style="209" customWidth="1"/>
    <col min="10245" max="10246" width="14.5703125" style="209" customWidth="1"/>
    <col min="10247" max="10247" width="11.28515625" style="209" customWidth="1"/>
    <col min="10248" max="10248" width="12.140625" style="209" customWidth="1"/>
    <col min="10249" max="10249" width="10.28515625" style="209" customWidth="1"/>
    <col min="10250" max="10250" width="7" style="209" customWidth="1"/>
    <col min="10251" max="10251" width="7.28515625" style="209" customWidth="1"/>
    <col min="10252" max="10252" width="9.140625" style="209" customWidth="1"/>
    <col min="10253" max="10253" width="9.7109375" style="209" customWidth="1"/>
    <col min="10254" max="10254" width="10.28515625" style="209" customWidth="1"/>
    <col min="10255" max="10255" width="12.140625" style="209" customWidth="1"/>
    <col min="10256" max="10256" width="0.42578125" style="209" customWidth="1"/>
    <col min="10257" max="10257" width="36.42578125" style="209" customWidth="1"/>
    <col min="10258" max="10496" width="9.140625" style="209"/>
    <col min="10497" max="10497" width="6.42578125" style="209" customWidth="1"/>
    <col min="10498" max="10498" width="50.85546875" style="209" customWidth="1"/>
    <col min="10499" max="10499" width="10.140625" style="209" customWidth="1"/>
    <col min="10500" max="10500" width="14.28515625" style="209" customWidth="1"/>
    <col min="10501" max="10502" width="14.5703125" style="209" customWidth="1"/>
    <col min="10503" max="10503" width="11.28515625" style="209" customWidth="1"/>
    <col min="10504" max="10504" width="12.140625" style="209" customWidth="1"/>
    <col min="10505" max="10505" width="10.28515625" style="209" customWidth="1"/>
    <col min="10506" max="10506" width="7" style="209" customWidth="1"/>
    <col min="10507" max="10507" width="7.28515625" style="209" customWidth="1"/>
    <col min="10508" max="10508" width="9.140625" style="209" customWidth="1"/>
    <col min="10509" max="10509" width="9.7109375" style="209" customWidth="1"/>
    <col min="10510" max="10510" width="10.28515625" style="209" customWidth="1"/>
    <col min="10511" max="10511" width="12.140625" style="209" customWidth="1"/>
    <col min="10512" max="10512" width="0.42578125" style="209" customWidth="1"/>
    <col min="10513" max="10513" width="36.42578125" style="209" customWidth="1"/>
    <col min="10514" max="10752" width="9.140625" style="209"/>
    <col min="10753" max="10753" width="6.42578125" style="209" customWidth="1"/>
    <col min="10754" max="10754" width="50.85546875" style="209" customWidth="1"/>
    <col min="10755" max="10755" width="10.140625" style="209" customWidth="1"/>
    <col min="10756" max="10756" width="14.28515625" style="209" customWidth="1"/>
    <col min="10757" max="10758" width="14.5703125" style="209" customWidth="1"/>
    <col min="10759" max="10759" width="11.28515625" style="209" customWidth="1"/>
    <col min="10760" max="10760" width="12.140625" style="209" customWidth="1"/>
    <col min="10761" max="10761" width="10.28515625" style="209" customWidth="1"/>
    <col min="10762" max="10762" width="7" style="209" customWidth="1"/>
    <col min="10763" max="10763" width="7.28515625" style="209" customWidth="1"/>
    <col min="10764" max="10764" width="9.140625" style="209" customWidth="1"/>
    <col min="10765" max="10765" width="9.7109375" style="209" customWidth="1"/>
    <col min="10766" max="10766" width="10.28515625" style="209" customWidth="1"/>
    <col min="10767" max="10767" width="12.140625" style="209" customWidth="1"/>
    <col min="10768" max="10768" width="0.42578125" style="209" customWidth="1"/>
    <col min="10769" max="10769" width="36.42578125" style="209" customWidth="1"/>
    <col min="10770" max="11008" width="9.140625" style="209"/>
    <col min="11009" max="11009" width="6.42578125" style="209" customWidth="1"/>
    <col min="11010" max="11010" width="50.85546875" style="209" customWidth="1"/>
    <col min="11011" max="11011" width="10.140625" style="209" customWidth="1"/>
    <col min="11012" max="11012" width="14.28515625" style="209" customWidth="1"/>
    <col min="11013" max="11014" width="14.5703125" style="209" customWidth="1"/>
    <col min="11015" max="11015" width="11.28515625" style="209" customWidth="1"/>
    <col min="11016" max="11016" width="12.140625" style="209" customWidth="1"/>
    <col min="11017" max="11017" width="10.28515625" style="209" customWidth="1"/>
    <col min="11018" max="11018" width="7" style="209" customWidth="1"/>
    <col min="11019" max="11019" width="7.28515625" style="209" customWidth="1"/>
    <col min="11020" max="11020" width="9.140625" style="209" customWidth="1"/>
    <col min="11021" max="11021" width="9.7109375" style="209" customWidth="1"/>
    <col min="11022" max="11022" width="10.28515625" style="209" customWidth="1"/>
    <col min="11023" max="11023" width="12.140625" style="209" customWidth="1"/>
    <col min="11024" max="11024" width="0.42578125" style="209" customWidth="1"/>
    <col min="11025" max="11025" width="36.42578125" style="209" customWidth="1"/>
    <col min="11026" max="11264" width="9.140625" style="209"/>
    <col min="11265" max="11265" width="6.42578125" style="209" customWidth="1"/>
    <col min="11266" max="11266" width="50.85546875" style="209" customWidth="1"/>
    <col min="11267" max="11267" width="10.140625" style="209" customWidth="1"/>
    <col min="11268" max="11268" width="14.28515625" style="209" customWidth="1"/>
    <col min="11269" max="11270" width="14.5703125" style="209" customWidth="1"/>
    <col min="11271" max="11271" width="11.28515625" style="209" customWidth="1"/>
    <col min="11272" max="11272" width="12.140625" style="209" customWidth="1"/>
    <col min="11273" max="11273" width="10.28515625" style="209" customWidth="1"/>
    <col min="11274" max="11274" width="7" style="209" customWidth="1"/>
    <col min="11275" max="11275" width="7.28515625" style="209" customWidth="1"/>
    <col min="11276" max="11276" width="9.140625" style="209" customWidth="1"/>
    <col min="11277" max="11277" width="9.7109375" style="209" customWidth="1"/>
    <col min="11278" max="11278" width="10.28515625" style="209" customWidth="1"/>
    <col min="11279" max="11279" width="12.140625" style="209" customWidth="1"/>
    <col min="11280" max="11280" width="0.42578125" style="209" customWidth="1"/>
    <col min="11281" max="11281" width="36.42578125" style="209" customWidth="1"/>
    <col min="11282" max="11520" width="9.140625" style="209"/>
    <col min="11521" max="11521" width="6.42578125" style="209" customWidth="1"/>
    <col min="11522" max="11522" width="50.85546875" style="209" customWidth="1"/>
    <col min="11523" max="11523" width="10.140625" style="209" customWidth="1"/>
    <col min="11524" max="11524" width="14.28515625" style="209" customWidth="1"/>
    <col min="11525" max="11526" width="14.5703125" style="209" customWidth="1"/>
    <col min="11527" max="11527" width="11.28515625" style="209" customWidth="1"/>
    <col min="11528" max="11528" width="12.140625" style="209" customWidth="1"/>
    <col min="11529" max="11529" width="10.28515625" style="209" customWidth="1"/>
    <col min="11530" max="11530" width="7" style="209" customWidth="1"/>
    <col min="11531" max="11531" width="7.28515625" style="209" customWidth="1"/>
    <col min="11532" max="11532" width="9.140625" style="209" customWidth="1"/>
    <col min="11533" max="11533" width="9.7109375" style="209" customWidth="1"/>
    <col min="11534" max="11534" width="10.28515625" style="209" customWidth="1"/>
    <col min="11535" max="11535" width="12.140625" style="209" customWidth="1"/>
    <col min="11536" max="11536" width="0.42578125" style="209" customWidth="1"/>
    <col min="11537" max="11537" width="36.42578125" style="209" customWidth="1"/>
    <col min="11538" max="11776" width="9.140625" style="209"/>
    <col min="11777" max="11777" width="6.42578125" style="209" customWidth="1"/>
    <col min="11778" max="11778" width="50.85546875" style="209" customWidth="1"/>
    <col min="11779" max="11779" width="10.140625" style="209" customWidth="1"/>
    <col min="11780" max="11780" width="14.28515625" style="209" customWidth="1"/>
    <col min="11781" max="11782" width="14.5703125" style="209" customWidth="1"/>
    <col min="11783" max="11783" width="11.28515625" style="209" customWidth="1"/>
    <col min="11784" max="11784" width="12.140625" style="209" customWidth="1"/>
    <col min="11785" max="11785" width="10.28515625" style="209" customWidth="1"/>
    <col min="11786" max="11786" width="7" style="209" customWidth="1"/>
    <col min="11787" max="11787" width="7.28515625" style="209" customWidth="1"/>
    <col min="11788" max="11788" width="9.140625" style="209" customWidth="1"/>
    <col min="11789" max="11789" width="9.7109375" style="209" customWidth="1"/>
    <col min="11790" max="11790" width="10.28515625" style="209" customWidth="1"/>
    <col min="11791" max="11791" width="12.140625" style="209" customWidth="1"/>
    <col min="11792" max="11792" width="0.42578125" style="209" customWidth="1"/>
    <col min="11793" max="11793" width="36.42578125" style="209" customWidth="1"/>
    <col min="11794" max="12032" width="9.140625" style="209"/>
    <col min="12033" max="12033" width="6.42578125" style="209" customWidth="1"/>
    <col min="12034" max="12034" width="50.85546875" style="209" customWidth="1"/>
    <col min="12035" max="12035" width="10.140625" style="209" customWidth="1"/>
    <col min="12036" max="12036" width="14.28515625" style="209" customWidth="1"/>
    <col min="12037" max="12038" width="14.5703125" style="209" customWidth="1"/>
    <col min="12039" max="12039" width="11.28515625" style="209" customWidth="1"/>
    <col min="12040" max="12040" width="12.140625" style="209" customWidth="1"/>
    <col min="12041" max="12041" width="10.28515625" style="209" customWidth="1"/>
    <col min="12042" max="12042" width="7" style="209" customWidth="1"/>
    <col min="12043" max="12043" width="7.28515625" style="209" customWidth="1"/>
    <col min="12044" max="12044" width="9.140625" style="209" customWidth="1"/>
    <col min="12045" max="12045" width="9.7109375" style="209" customWidth="1"/>
    <col min="12046" max="12046" width="10.28515625" style="209" customWidth="1"/>
    <col min="12047" max="12047" width="12.140625" style="209" customWidth="1"/>
    <col min="12048" max="12048" width="0.42578125" style="209" customWidth="1"/>
    <col min="12049" max="12049" width="36.42578125" style="209" customWidth="1"/>
    <col min="12050" max="12288" width="9.140625" style="209"/>
    <col min="12289" max="12289" width="6.42578125" style="209" customWidth="1"/>
    <col min="12290" max="12290" width="50.85546875" style="209" customWidth="1"/>
    <col min="12291" max="12291" width="10.140625" style="209" customWidth="1"/>
    <col min="12292" max="12292" width="14.28515625" style="209" customWidth="1"/>
    <col min="12293" max="12294" width="14.5703125" style="209" customWidth="1"/>
    <col min="12295" max="12295" width="11.28515625" style="209" customWidth="1"/>
    <col min="12296" max="12296" width="12.140625" style="209" customWidth="1"/>
    <col min="12297" max="12297" width="10.28515625" style="209" customWidth="1"/>
    <col min="12298" max="12298" width="7" style="209" customWidth="1"/>
    <col min="12299" max="12299" width="7.28515625" style="209" customWidth="1"/>
    <col min="12300" max="12300" width="9.140625" style="209" customWidth="1"/>
    <col min="12301" max="12301" width="9.7109375" style="209" customWidth="1"/>
    <col min="12302" max="12302" width="10.28515625" style="209" customWidth="1"/>
    <col min="12303" max="12303" width="12.140625" style="209" customWidth="1"/>
    <col min="12304" max="12304" width="0.42578125" style="209" customWidth="1"/>
    <col min="12305" max="12305" width="36.42578125" style="209" customWidth="1"/>
    <col min="12306" max="12544" width="9.140625" style="209"/>
    <col min="12545" max="12545" width="6.42578125" style="209" customWidth="1"/>
    <col min="12546" max="12546" width="50.85546875" style="209" customWidth="1"/>
    <col min="12547" max="12547" width="10.140625" style="209" customWidth="1"/>
    <col min="12548" max="12548" width="14.28515625" style="209" customWidth="1"/>
    <col min="12549" max="12550" width="14.5703125" style="209" customWidth="1"/>
    <col min="12551" max="12551" width="11.28515625" style="209" customWidth="1"/>
    <col min="12552" max="12552" width="12.140625" style="209" customWidth="1"/>
    <col min="12553" max="12553" width="10.28515625" style="209" customWidth="1"/>
    <col min="12554" max="12554" width="7" style="209" customWidth="1"/>
    <col min="12555" max="12555" width="7.28515625" style="209" customWidth="1"/>
    <col min="12556" max="12556" width="9.140625" style="209" customWidth="1"/>
    <col min="12557" max="12557" width="9.7109375" style="209" customWidth="1"/>
    <col min="12558" max="12558" width="10.28515625" style="209" customWidth="1"/>
    <col min="12559" max="12559" width="12.140625" style="209" customWidth="1"/>
    <col min="12560" max="12560" width="0.42578125" style="209" customWidth="1"/>
    <col min="12561" max="12561" width="36.42578125" style="209" customWidth="1"/>
    <col min="12562" max="12800" width="9.140625" style="209"/>
    <col min="12801" max="12801" width="6.42578125" style="209" customWidth="1"/>
    <col min="12802" max="12802" width="50.85546875" style="209" customWidth="1"/>
    <col min="12803" max="12803" width="10.140625" style="209" customWidth="1"/>
    <col min="12804" max="12804" width="14.28515625" style="209" customWidth="1"/>
    <col min="12805" max="12806" width="14.5703125" style="209" customWidth="1"/>
    <col min="12807" max="12807" width="11.28515625" style="209" customWidth="1"/>
    <col min="12808" max="12808" width="12.140625" style="209" customWidth="1"/>
    <col min="12809" max="12809" width="10.28515625" style="209" customWidth="1"/>
    <col min="12810" max="12810" width="7" style="209" customWidth="1"/>
    <col min="12811" max="12811" width="7.28515625" style="209" customWidth="1"/>
    <col min="12812" max="12812" width="9.140625" style="209" customWidth="1"/>
    <col min="12813" max="12813" width="9.7109375" style="209" customWidth="1"/>
    <col min="12814" max="12814" width="10.28515625" style="209" customWidth="1"/>
    <col min="12815" max="12815" width="12.140625" style="209" customWidth="1"/>
    <col min="12816" max="12816" width="0.42578125" style="209" customWidth="1"/>
    <col min="12817" max="12817" width="36.42578125" style="209" customWidth="1"/>
    <col min="12818" max="13056" width="9.140625" style="209"/>
    <col min="13057" max="13057" width="6.42578125" style="209" customWidth="1"/>
    <col min="13058" max="13058" width="50.85546875" style="209" customWidth="1"/>
    <col min="13059" max="13059" width="10.140625" style="209" customWidth="1"/>
    <col min="13060" max="13060" width="14.28515625" style="209" customWidth="1"/>
    <col min="13061" max="13062" width="14.5703125" style="209" customWidth="1"/>
    <col min="13063" max="13063" width="11.28515625" style="209" customWidth="1"/>
    <col min="13064" max="13064" width="12.140625" style="209" customWidth="1"/>
    <col min="13065" max="13065" width="10.28515625" style="209" customWidth="1"/>
    <col min="13066" max="13066" width="7" style="209" customWidth="1"/>
    <col min="13067" max="13067" width="7.28515625" style="209" customWidth="1"/>
    <col min="13068" max="13068" width="9.140625" style="209" customWidth="1"/>
    <col min="13069" max="13069" width="9.7109375" style="209" customWidth="1"/>
    <col min="13070" max="13070" width="10.28515625" style="209" customWidth="1"/>
    <col min="13071" max="13071" width="12.140625" style="209" customWidth="1"/>
    <col min="13072" max="13072" width="0.42578125" style="209" customWidth="1"/>
    <col min="13073" max="13073" width="36.42578125" style="209" customWidth="1"/>
    <col min="13074" max="13312" width="9.140625" style="209"/>
    <col min="13313" max="13313" width="6.42578125" style="209" customWidth="1"/>
    <col min="13314" max="13314" width="50.85546875" style="209" customWidth="1"/>
    <col min="13315" max="13315" width="10.140625" style="209" customWidth="1"/>
    <col min="13316" max="13316" width="14.28515625" style="209" customWidth="1"/>
    <col min="13317" max="13318" width="14.5703125" style="209" customWidth="1"/>
    <col min="13319" max="13319" width="11.28515625" style="209" customWidth="1"/>
    <col min="13320" max="13320" width="12.140625" style="209" customWidth="1"/>
    <col min="13321" max="13321" width="10.28515625" style="209" customWidth="1"/>
    <col min="13322" max="13322" width="7" style="209" customWidth="1"/>
    <col min="13323" max="13323" width="7.28515625" style="209" customWidth="1"/>
    <col min="13324" max="13324" width="9.140625" style="209" customWidth="1"/>
    <col min="13325" max="13325" width="9.7109375" style="209" customWidth="1"/>
    <col min="13326" max="13326" width="10.28515625" style="209" customWidth="1"/>
    <col min="13327" max="13327" width="12.140625" style="209" customWidth="1"/>
    <col min="13328" max="13328" width="0.42578125" style="209" customWidth="1"/>
    <col min="13329" max="13329" width="36.42578125" style="209" customWidth="1"/>
    <col min="13330" max="13568" width="9.140625" style="209"/>
    <col min="13569" max="13569" width="6.42578125" style="209" customWidth="1"/>
    <col min="13570" max="13570" width="50.85546875" style="209" customWidth="1"/>
    <col min="13571" max="13571" width="10.140625" style="209" customWidth="1"/>
    <col min="13572" max="13572" width="14.28515625" style="209" customWidth="1"/>
    <col min="13573" max="13574" width="14.5703125" style="209" customWidth="1"/>
    <col min="13575" max="13575" width="11.28515625" style="209" customWidth="1"/>
    <col min="13576" max="13576" width="12.140625" style="209" customWidth="1"/>
    <col min="13577" max="13577" width="10.28515625" style="209" customWidth="1"/>
    <col min="13578" max="13578" width="7" style="209" customWidth="1"/>
    <col min="13579" max="13579" width="7.28515625" style="209" customWidth="1"/>
    <col min="13580" max="13580" width="9.140625" style="209" customWidth="1"/>
    <col min="13581" max="13581" width="9.7109375" style="209" customWidth="1"/>
    <col min="13582" max="13582" width="10.28515625" style="209" customWidth="1"/>
    <col min="13583" max="13583" width="12.140625" style="209" customWidth="1"/>
    <col min="13584" max="13584" width="0.42578125" style="209" customWidth="1"/>
    <col min="13585" max="13585" width="36.42578125" style="209" customWidth="1"/>
    <col min="13586" max="13824" width="9.140625" style="209"/>
    <col min="13825" max="13825" width="6.42578125" style="209" customWidth="1"/>
    <col min="13826" max="13826" width="50.85546875" style="209" customWidth="1"/>
    <col min="13827" max="13827" width="10.140625" style="209" customWidth="1"/>
    <col min="13828" max="13828" width="14.28515625" style="209" customWidth="1"/>
    <col min="13829" max="13830" width="14.5703125" style="209" customWidth="1"/>
    <col min="13831" max="13831" width="11.28515625" style="209" customWidth="1"/>
    <col min="13832" max="13832" width="12.140625" style="209" customWidth="1"/>
    <col min="13833" max="13833" width="10.28515625" style="209" customWidth="1"/>
    <col min="13834" max="13834" width="7" style="209" customWidth="1"/>
    <col min="13835" max="13835" width="7.28515625" style="209" customWidth="1"/>
    <col min="13836" max="13836" width="9.140625" style="209" customWidth="1"/>
    <col min="13837" max="13837" width="9.7109375" style="209" customWidth="1"/>
    <col min="13838" max="13838" width="10.28515625" style="209" customWidth="1"/>
    <col min="13839" max="13839" width="12.140625" style="209" customWidth="1"/>
    <col min="13840" max="13840" width="0.42578125" style="209" customWidth="1"/>
    <col min="13841" max="13841" width="36.42578125" style="209" customWidth="1"/>
    <col min="13842" max="14080" width="9.140625" style="209"/>
    <col min="14081" max="14081" width="6.42578125" style="209" customWidth="1"/>
    <col min="14082" max="14082" width="50.85546875" style="209" customWidth="1"/>
    <col min="14083" max="14083" width="10.140625" style="209" customWidth="1"/>
    <col min="14084" max="14084" width="14.28515625" style="209" customWidth="1"/>
    <col min="14085" max="14086" width="14.5703125" style="209" customWidth="1"/>
    <col min="14087" max="14087" width="11.28515625" style="209" customWidth="1"/>
    <col min="14088" max="14088" width="12.140625" style="209" customWidth="1"/>
    <col min="14089" max="14089" width="10.28515625" style="209" customWidth="1"/>
    <col min="14090" max="14090" width="7" style="209" customWidth="1"/>
    <col min="14091" max="14091" width="7.28515625" style="209" customWidth="1"/>
    <col min="14092" max="14092" width="9.140625" style="209" customWidth="1"/>
    <col min="14093" max="14093" width="9.7109375" style="209" customWidth="1"/>
    <col min="14094" max="14094" width="10.28515625" style="209" customWidth="1"/>
    <col min="14095" max="14095" width="12.140625" style="209" customWidth="1"/>
    <col min="14096" max="14096" width="0.42578125" style="209" customWidth="1"/>
    <col min="14097" max="14097" width="36.42578125" style="209" customWidth="1"/>
    <col min="14098" max="14336" width="9.140625" style="209"/>
    <col min="14337" max="14337" width="6.42578125" style="209" customWidth="1"/>
    <col min="14338" max="14338" width="50.85546875" style="209" customWidth="1"/>
    <col min="14339" max="14339" width="10.140625" style="209" customWidth="1"/>
    <col min="14340" max="14340" width="14.28515625" style="209" customWidth="1"/>
    <col min="14341" max="14342" width="14.5703125" style="209" customWidth="1"/>
    <col min="14343" max="14343" width="11.28515625" style="209" customWidth="1"/>
    <col min="14344" max="14344" width="12.140625" style="209" customWidth="1"/>
    <col min="14345" max="14345" width="10.28515625" style="209" customWidth="1"/>
    <col min="14346" max="14346" width="7" style="209" customWidth="1"/>
    <col min="14347" max="14347" width="7.28515625" style="209" customWidth="1"/>
    <col min="14348" max="14348" width="9.140625" style="209" customWidth="1"/>
    <col min="14349" max="14349" width="9.7109375" style="209" customWidth="1"/>
    <col min="14350" max="14350" width="10.28515625" style="209" customWidth="1"/>
    <col min="14351" max="14351" width="12.140625" style="209" customWidth="1"/>
    <col min="14352" max="14352" width="0.42578125" style="209" customWidth="1"/>
    <col min="14353" max="14353" width="36.42578125" style="209" customWidth="1"/>
    <col min="14354" max="14592" width="9.140625" style="209"/>
    <col min="14593" max="14593" width="6.42578125" style="209" customWidth="1"/>
    <col min="14594" max="14594" width="50.85546875" style="209" customWidth="1"/>
    <col min="14595" max="14595" width="10.140625" style="209" customWidth="1"/>
    <col min="14596" max="14596" width="14.28515625" style="209" customWidth="1"/>
    <col min="14597" max="14598" width="14.5703125" style="209" customWidth="1"/>
    <col min="14599" max="14599" width="11.28515625" style="209" customWidth="1"/>
    <col min="14600" max="14600" width="12.140625" style="209" customWidth="1"/>
    <col min="14601" max="14601" width="10.28515625" style="209" customWidth="1"/>
    <col min="14602" max="14602" width="7" style="209" customWidth="1"/>
    <col min="14603" max="14603" width="7.28515625" style="209" customWidth="1"/>
    <col min="14604" max="14604" width="9.140625" style="209" customWidth="1"/>
    <col min="14605" max="14605" width="9.7109375" style="209" customWidth="1"/>
    <col min="14606" max="14606" width="10.28515625" style="209" customWidth="1"/>
    <col min="14607" max="14607" width="12.140625" style="209" customWidth="1"/>
    <col min="14608" max="14608" width="0.42578125" style="209" customWidth="1"/>
    <col min="14609" max="14609" width="36.42578125" style="209" customWidth="1"/>
    <col min="14610" max="14848" width="9.140625" style="209"/>
    <col min="14849" max="14849" width="6.42578125" style="209" customWidth="1"/>
    <col min="14850" max="14850" width="50.85546875" style="209" customWidth="1"/>
    <col min="14851" max="14851" width="10.140625" style="209" customWidth="1"/>
    <col min="14852" max="14852" width="14.28515625" style="209" customWidth="1"/>
    <col min="14853" max="14854" width="14.5703125" style="209" customWidth="1"/>
    <col min="14855" max="14855" width="11.28515625" style="209" customWidth="1"/>
    <col min="14856" max="14856" width="12.140625" style="209" customWidth="1"/>
    <col min="14857" max="14857" width="10.28515625" style="209" customWidth="1"/>
    <col min="14858" max="14858" width="7" style="209" customWidth="1"/>
    <col min="14859" max="14859" width="7.28515625" style="209" customWidth="1"/>
    <col min="14860" max="14860" width="9.140625" style="209" customWidth="1"/>
    <col min="14861" max="14861" width="9.7109375" style="209" customWidth="1"/>
    <col min="14862" max="14862" width="10.28515625" style="209" customWidth="1"/>
    <col min="14863" max="14863" width="12.140625" style="209" customWidth="1"/>
    <col min="14864" max="14864" width="0.42578125" style="209" customWidth="1"/>
    <col min="14865" max="14865" width="36.42578125" style="209" customWidth="1"/>
    <col min="14866" max="15104" width="9.140625" style="209"/>
    <col min="15105" max="15105" width="6.42578125" style="209" customWidth="1"/>
    <col min="15106" max="15106" width="50.85546875" style="209" customWidth="1"/>
    <col min="15107" max="15107" width="10.140625" style="209" customWidth="1"/>
    <col min="15108" max="15108" width="14.28515625" style="209" customWidth="1"/>
    <col min="15109" max="15110" width="14.5703125" style="209" customWidth="1"/>
    <col min="15111" max="15111" width="11.28515625" style="209" customWidth="1"/>
    <col min="15112" max="15112" width="12.140625" style="209" customWidth="1"/>
    <col min="15113" max="15113" width="10.28515625" style="209" customWidth="1"/>
    <col min="15114" max="15114" width="7" style="209" customWidth="1"/>
    <col min="15115" max="15115" width="7.28515625" style="209" customWidth="1"/>
    <col min="15116" max="15116" width="9.140625" style="209" customWidth="1"/>
    <col min="15117" max="15117" width="9.7109375" style="209" customWidth="1"/>
    <col min="15118" max="15118" width="10.28515625" style="209" customWidth="1"/>
    <col min="15119" max="15119" width="12.140625" style="209" customWidth="1"/>
    <col min="15120" max="15120" width="0.42578125" style="209" customWidth="1"/>
    <col min="15121" max="15121" width="36.42578125" style="209" customWidth="1"/>
    <col min="15122" max="15360" width="9.140625" style="209"/>
    <col min="15361" max="15361" width="6.42578125" style="209" customWidth="1"/>
    <col min="15362" max="15362" width="50.85546875" style="209" customWidth="1"/>
    <col min="15363" max="15363" width="10.140625" style="209" customWidth="1"/>
    <col min="15364" max="15364" width="14.28515625" style="209" customWidth="1"/>
    <col min="15365" max="15366" width="14.5703125" style="209" customWidth="1"/>
    <col min="15367" max="15367" width="11.28515625" style="209" customWidth="1"/>
    <col min="15368" max="15368" width="12.140625" style="209" customWidth="1"/>
    <col min="15369" max="15369" width="10.28515625" style="209" customWidth="1"/>
    <col min="15370" max="15370" width="7" style="209" customWidth="1"/>
    <col min="15371" max="15371" width="7.28515625" style="209" customWidth="1"/>
    <col min="15372" max="15372" width="9.140625" style="209" customWidth="1"/>
    <col min="15373" max="15373" width="9.7109375" style="209" customWidth="1"/>
    <col min="15374" max="15374" width="10.28515625" style="209" customWidth="1"/>
    <col min="15375" max="15375" width="12.140625" style="209" customWidth="1"/>
    <col min="15376" max="15376" width="0.42578125" style="209" customWidth="1"/>
    <col min="15377" max="15377" width="36.42578125" style="209" customWidth="1"/>
    <col min="15378" max="15616" width="9.140625" style="209"/>
    <col min="15617" max="15617" width="6.42578125" style="209" customWidth="1"/>
    <col min="15618" max="15618" width="50.85546875" style="209" customWidth="1"/>
    <col min="15619" max="15619" width="10.140625" style="209" customWidth="1"/>
    <col min="15620" max="15620" width="14.28515625" style="209" customWidth="1"/>
    <col min="15621" max="15622" width="14.5703125" style="209" customWidth="1"/>
    <col min="15623" max="15623" width="11.28515625" style="209" customWidth="1"/>
    <col min="15624" max="15624" width="12.140625" style="209" customWidth="1"/>
    <col min="15625" max="15625" width="10.28515625" style="209" customWidth="1"/>
    <col min="15626" max="15626" width="7" style="209" customWidth="1"/>
    <col min="15627" max="15627" width="7.28515625" style="209" customWidth="1"/>
    <col min="15628" max="15628" width="9.140625" style="209" customWidth="1"/>
    <col min="15629" max="15629" width="9.7109375" style="209" customWidth="1"/>
    <col min="15630" max="15630" width="10.28515625" style="209" customWidth="1"/>
    <col min="15631" max="15631" width="12.140625" style="209" customWidth="1"/>
    <col min="15632" max="15632" width="0.42578125" style="209" customWidth="1"/>
    <col min="15633" max="15633" width="36.42578125" style="209" customWidth="1"/>
    <col min="15634" max="15872" width="9.140625" style="209"/>
    <col min="15873" max="15873" width="6.42578125" style="209" customWidth="1"/>
    <col min="15874" max="15874" width="50.85546875" style="209" customWidth="1"/>
    <col min="15875" max="15875" width="10.140625" style="209" customWidth="1"/>
    <col min="15876" max="15876" width="14.28515625" style="209" customWidth="1"/>
    <col min="15877" max="15878" width="14.5703125" style="209" customWidth="1"/>
    <col min="15879" max="15879" width="11.28515625" style="209" customWidth="1"/>
    <col min="15880" max="15880" width="12.140625" style="209" customWidth="1"/>
    <col min="15881" max="15881" width="10.28515625" style="209" customWidth="1"/>
    <col min="15882" max="15882" width="7" style="209" customWidth="1"/>
    <col min="15883" max="15883" width="7.28515625" style="209" customWidth="1"/>
    <col min="15884" max="15884" width="9.140625" style="209" customWidth="1"/>
    <col min="15885" max="15885" width="9.7109375" style="209" customWidth="1"/>
    <col min="15886" max="15886" width="10.28515625" style="209" customWidth="1"/>
    <col min="15887" max="15887" width="12.140625" style="209" customWidth="1"/>
    <col min="15888" max="15888" width="0.42578125" style="209" customWidth="1"/>
    <col min="15889" max="15889" width="36.42578125" style="209" customWidth="1"/>
    <col min="15890" max="16128" width="9.140625" style="209"/>
    <col min="16129" max="16129" width="6.42578125" style="209" customWidth="1"/>
    <col min="16130" max="16130" width="50.85546875" style="209" customWidth="1"/>
    <col min="16131" max="16131" width="10.140625" style="209" customWidth="1"/>
    <col min="16132" max="16132" width="14.28515625" style="209" customWidth="1"/>
    <col min="16133" max="16134" width="14.5703125" style="209" customWidth="1"/>
    <col min="16135" max="16135" width="11.28515625" style="209" customWidth="1"/>
    <col min="16136" max="16136" width="12.140625" style="209" customWidth="1"/>
    <col min="16137" max="16137" width="10.28515625" style="209" customWidth="1"/>
    <col min="16138" max="16138" width="7" style="209" customWidth="1"/>
    <col min="16139" max="16139" width="7.28515625" style="209" customWidth="1"/>
    <col min="16140" max="16140" width="9.140625" style="209" customWidth="1"/>
    <col min="16141" max="16141" width="9.7109375" style="209" customWidth="1"/>
    <col min="16142" max="16142" width="10.28515625" style="209" customWidth="1"/>
    <col min="16143" max="16143" width="12.140625" style="209" customWidth="1"/>
    <col min="16144" max="16144" width="0.42578125" style="209" customWidth="1"/>
    <col min="16145" max="16145" width="36.42578125" style="209" customWidth="1"/>
    <col min="16146" max="16384" width="9.140625" style="209"/>
  </cols>
  <sheetData>
    <row r="1" spans="1:256">
      <c r="A1" s="696" t="s">
        <v>414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  <c r="P1" s="696"/>
      <c r="Q1" s="696"/>
    </row>
    <row r="2" spans="1:256">
      <c r="A2" s="696" t="s">
        <v>415</v>
      </c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</row>
    <row r="3" spans="1:256" s="241" customFormat="1" hidden="1">
      <c r="A3" s="697" t="s">
        <v>352</v>
      </c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697"/>
      <c r="O3" s="697"/>
      <c r="P3" s="697"/>
      <c r="Q3" s="697"/>
    </row>
    <row r="4" spans="1:256">
      <c r="A4" s="210" t="s">
        <v>416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10"/>
      <c r="CA4" s="210"/>
      <c r="CB4" s="210"/>
      <c r="CC4" s="210"/>
      <c r="CD4" s="210"/>
      <c r="CE4" s="210"/>
      <c r="CF4" s="210"/>
      <c r="CG4" s="210"/>
      <c r="CH4" s="210"/>
      <c r="CI4" s="210"/>
      <c r="CJ4" s="210"/>
      <c r="CK4" s="210"/>
      <c r="CL4" s="210"/>
      <c r="CM4" s="210"/>
      <c r="CN4" s="210"/>
      <c r="CO4" s="210"/>
      <c r="CP4" s="210"/>
      <c r="CQ4" s="210"/>
      <c r="CR4" s="210"/>
      <c r="CS4" s="210"/>
      <c r="CT4" s="210"/>
      <c r="CU4" s="210"/>
      <c r="CV4" s="210"/>
      <c r="CW4" s="210"/>
      <c r="CX4" s="210"/>
      <c r="CY4" s="210"/>
      <c r="CZ4" s="210"/>
      <c r="DA4" s="210"/>
      <c r="DB4" s="210"/>
      <c r="DC4" s="210"/>
      <c r="DD4" s="210"/>
      <c r="DE4" s="210"/>
      <c r="DF4" s="210"/>
      <c r="DG4" s="210"/>
      <c r="DH4" s="210"/>
      <c r="DI4" s="210"/>
      <c r="DJ4" s="210"/>
      <c r="DK4" s="210"/>
      <c r="DL4" s="210"/>
      <c r="DM4" s="210"/>
      <c r="DN4" s="210"/>
      <c r="DO4" s="210"/>
      <c r="DP4" s="210"/>
      <c r="DQ4" s="210"/>
      <c r="DR4" s="210"/>
      <c r="DS4" s="210"/>
      <c r="DT4" s="210"/>
      <c r="DU4" s="210"/>
      <c r="DV4" s="210"/>
      <c r="DW4" s="210"/>
      <c r="DX4" s="210"/>
      <c r="DY4" s="210"/>
      <c r="DZ4" s="210"/>
      <c r="EA4" s="210"/>
      <c r="EB4" s="210"/>
      <c r="EC4" s="210"/>
      <c r="ED4" s="210"/>
      <c r="EE4" s="210"/>
      <c r="EF4" s="210"/>
      <c r="EG4" s="210"/>
      <c r="EH4" s="210"/>
      <c r="EI4" s="210"/>
      <c r="EJ4" s="210"/>
      <c r="EK4" s="210"/>
      <c r="EL4" s="210"/>
      <c r="EM4" s="210"/>
      <c r="EN4" s="210"/>
      <c r="EO4" s="210"/>
      <c r="EP4" s="210"/>
      <c r="EQ4" s="210"/>
      <c r="ER4" s="210"/>
      <c r="ES4" s="210"/>
      <c r="ET4" s="210"/>
      <c r="EU4" s="210"/>
      <c r="EV4" s="210"/>
      <c r="EW4" s="210"/>
      <c r="EX4" s="210"/>
      <c r="EY4" s="210"/>
      <c r="EZ4" s="210"/>
      <c r="FA4" s="210"/>
      <c r="FB4" s="210"/>
      <c r="FC4" s="210"/>
      <c r="FD4" s="210"/>
      <c r="FE4" s="210"/>
      <c r="FF4" s="210"/>
      <c r="FG4" s="210"/>
      <c r="FH4" s="210"/>
      <c r="FI4" s="210"/>
      <c r="FJ4" s="210"/>
      <c r="FK4" s="210"/>
      <c r="FL4" s="210"/>
      <c r="FM4" s="210"/>
      <c r="FN4" s="210"/>
      <c r="FO4" s="210"/>
      <c r="FP4" s="210"/>
      <c r="FQ4" s="210"/>
      <c r="FR4" s="210"/>
      <c r="FS4" s="210"/>
      <c r="FT4" s="210"/>
      <c r="FU4" s="210"/>
      <c r="FV4" s="210"/>
      <c r="FW4" s="210"/>
      <c r="FX4" s="210"/>
      <c r="FY4" s="210"/>
      <c r="FZ4" s="210"/>
      <c r="GA4" s="210"/>
      <c r="GB4" s="210"/>
      <c r="GC4" s="210"/>
      <c r="GD4" s="210"/>
      <c r="GE4" s="210"/>
      <c r="GF4" s="210"/>
      <c r="GG4" s="210"/>
      <c r="GH4" s="210"/>
      <c r="GI4" s="210"/>
      <c r="GJ4" s="210"/>
      <c r="GK4" s="210"/>
      <c r="GL4" s="210"/>
      <c r="GM4" s="210"/>
      <c r="GN4" s="210"/>
      <c r="GO4" s="210"/>
      <c r="GP4" s="210"/>
      <c r="GQ4" s="210"/>
      <c r="GR4" s="210"/>
      <c r="GS4" s="210"/>
      <c r="GT4" s="210"/>
      <c r="GU4" s="210"/>
      <c r="GV4" s="210"/>
      <c r="GW4" s="210"/>
      <c r="GX4" s="210"/>
      <c r="GY4" s="210"/>
      <c r="GZ4" s="210"/>
      <c r="HA4" s="210"/>
      <c r="HB4" s="210"/>
      <c r="HC4" s="210"/>
      <c r="HD4" s="210"/>
      <c r="HE4" s="210"/>
      <c r="HF4" s="210"/>
      <c r="HG4" s="210"/>
      <c r="HH4" s="210"/>
      <c r="HI4" s="210"/>
      <c r="HJ4" s="210"/>
      <c r="HK4" s="210"/>
      <c r="HL4" s="210"/>
      <c r="HM4" s="210"/>
      <c r="HN4" s="210"/>
      <c r="HO4" s="210"/>
      <c r="HP4" s="210"/>
      <c r="HQ4" s="210"/>
      <c r="HR4" s="210"/>
      <c r="HS4" s="210"/>
      <c r="HT4" s="210"/>
      <c r="HU4" s="210"/>
      <c r="HV4" s="210"/>
      <c r="HW4" s="210"/>
      <c r="HX4" s="210"/>
      <c r="HY4" s="210"/>
      <c r="HZ4" s="210"/>
      <c r="IA4" s="210"/>
      <c r="IB4" s="210"/>
      <c r="IC4" s="210"/>
      <c r="ID4" s="210"/>
      <c r="IE4" s="210"/>
      <c r="IF4" s="210"/>
      <c r="IG4" s="210"/>
      <c r="IH4" s="210"/>
      <c r="II4" s="210"/>
      <c r="IJ4" s="210"/>
      <c r="IK4" s="210"/>
      <c r="IL4" s="210"/>
      <c r="IM4" s="210"/>
      <c r="IN4" s="210"/>
      <c r="IO4" s="210"/>
      <c r="IP4" s="210"/>
      <c r="IQ4" s="210"/>
      <c r="IR4" s="210"/>
      <c r="IS4" s="210"/>
      <c r="IT4" s="210"/>
      <c r="IU4" s="210"/>
      <c r="IV4" s="210"/>
    </row>
    <row r="5" spans="1:256" s="241" customFormat="1">
      <c r="A5" s="698" t="s">
        <v>353</v>
      </c>
      <c r="B5" s="698" t="s">
        <v>354</v>
      </c>
      <c r="C5" s="698" t="s">
        <v>355</v>
      </c>
      <c r="D5" s="698" t="s">
        <v>356</v>
      </c>
      <c r="E5" s="698" t="s">
        <v>357</v>
      </c>
      <c r="F5" s="698" t="s">
        <v>358</v>
      </c>
      <c r="G5" s="698" t="s">
        <v>359</v>
      </c>
      <c r="H5" s="698" t="s">
        <v>360</v>
      </c>
      <c r="I5" s="698" t="s">
        <v>361</v>
      </c>
      <c r="J5" s="700" t="s">
        <v>362</v>
      </c>
      <c r="K5" s="701"/>
      <c r="L5" s="702" t="s">
        <v>363</v>
      </c>
      <c r="M5" s="703"/>
      <c r="N5" s="703"/>
      <c r="O5" s="703"/>
      <c r="P5" s="703"/>
      <c r="Q5" s="698" t="s">
        <v>364</v>
      </c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2"/>
      <c r="CN5" s="242"/>
      <c r="CO5" s="242"/>
      <c r="CP5" s="242"/>
      <c r="CQ5" s="242"/>
      <c r="CR5" s="242"/>
      <c r="CS5" s="242"/>
      <c r="CT5" s="242"/>
      <c r="CU5" s="242"/>
      <c r="CV5" s="242"/>
      <c r="CW5" s="242"/>
      <c r="CX5" s="242"/>
      <c r="CY5" s="242"/>
      <c r="CZ5" s="242"/>
      <c r="DA5" s="242"/>
      <c r="DB5" s="242"/>
      <c r="DC5" s="242"/>
      <c r="DD5" s="242"/>
      <c r="DE5" s="242"/>
      <c r="DF5" s="242"/>
      <c r="DG5" s="242"/>
      <c r="DH5" s="242"/>
      <c r="DI5" s="242"/>
      <c r="DJ5" s="242"/>
      <c r="DK5" s="242"/>
      <c r="DL5" s="242"/>
      <c r="DM5" s="242"/>
      <c r="DN5" s="242"/>
      <c r="DO5" s="242"/>
      <c r="DP5" s="242"/>
      <c r="DQ5" s="242"/>
      <c r="DR5" s="242"/>
      <c r="DS5" s="242"/>
      <c r="DT5" s="242"/>
      <c r="DU5" s="242"/>
      <c r="DV5" s="242"/>
      <c r="DW5" s="242"/>
      <c r="DX5" s="242"/>
      <c r="DY5" s="242"/>
      <c r="DZ5" s="242"/>
      <c r="EA5" s="242"/>
      <c r="EB5" s="242"/>
      <c r="EC5" s="242"/>
      <c r="ED5" s="242"/>
      <c r="EE5" s="242"/>
      <c r="EF5" s="242"/>
      <c r="EG5" s="242"/>
      <c r="EH5" s="242"/>
      <c r="EI5" s="242"/>
      <c r="EJ5" s="242"/>
      <c r="EK5" s="242"/>
      <c r="EL5" s="242"/>
      <c r="EM5" s="242"/>
      <c r="EN5" s="242"/>
      <c r="EO5" s="242"/>
      <c r="EP5" s="242"/>
      <c r="EQ5" s="242"/>
      <c r="ER5" s="242"/>
      <c r="ES5" s="242"/>
      <c r="ET5" s="242"/>
      <c r="EU5" s="242"/>
      <c r="EV5" s="242"/>
      <c r="EW5" s="242"/>
      <c r="EX5" s="242"/>
      <c r="EY5" s="242"/>
      <c r="EZ5" s="242"/>
      <c r="FA5" s="242"/>
      <c r="FB5" s="242"/>
      <c r="FC5" s="242"/>
      <c r="FD5" s="242"/>
      <c r="FE5" s="242"/>
      <c r="FF5" s="242"/>
      <c r="FG5" s="242"/>
      <c r="FH5" s="242"/>
      <c r="FI5" s="242"/>
      <c r="FJ5" s="242"/>
      <c r="FK5" s="242"/>
      <c r="FL5" s="242"/>
      <c r="FM5" s="242"/>
      <c r="FN5" s="242"/>
      <c r="FO5" s="242"/>
      <c r="FP5" s="242"/>
      <c r="FQ5" s="242"/>
      <c r="FR5" s="242"/>
      <c r="FS5" s="242"/>
      <c r="FT5" s="242"/>
      <c r="FU5" s="242"/>
      <c r="FV5" s="242"/>
      <c r="FW5" s="242"/>
      <c r="FX5" s="242"/>
      <c r="FY5" s="242"/>
      <c r="FZ5" s="242"/>
      <c r="GA5" s="242"/>
      <c r="GB5" s="242"/>
      <c r="GC5" s="242"/>
      <c r="GD5" s="242"/>
      <c r="GE5" s="242"/>
      <c r="GF5" s="242"/>
      <c r="GG5" s="242"/>
      <c r="GH5" s="242"/>
      <c r="GI5" s="242"/>
      <c r="GJ5" s="242"/>
      <c r="GK5" s="242"/>
      <c r="GL5" s="242"/>
      <c r="GM5" s="242"/>
      <c r="GN5" s="242"/>
      <c r="GO5" s="242"/>
      <c r="GP5" s="242"/>
      <c r="GQ5" s="242"/>
      <c r="GR5" s="242"/>
      <c r="GS5" s="242"/>
      <c r="GT5" s="242"/>
      <c r="GU5" s="242"/>
      <c r="GV5" s="242"/>
      <c r="GW5" s="242"/>
      <c r="GX5" s="242"/>
      <c r="GY5" s="242"/>
      <c r="GZ5" s="242"/>
      <c r="HA5" s="242"/>
      <c r="HB5" s="242"/>
      <c r="HC5" s="242"/>
      <c r="HD5" s="242"/>
      <c r="HE5" s="242"/>
      <c r="HF5" s="242"/>
      <c r="HG5" s="242"/>
      <c r="HH5" s="242"/>
      <c r="HI5" s="242"/>
      <c r="HJ5" s="242"/>
      <c r="HK5" s="242"/>
      <c r="HL5" s="242"/>
      <c r="HM5" s="242"/>
      <c r="HN5" s="242"/>
      <c r="HO5" s="242"/>
      <c r="HP5" s="242"/>
      <c r="HQ5" s="242"/>
      <c r="HR5" s="242"/>
      <c r="HS5" s="242"/>
      <c r="HT5" s="242"/>
      <c r="HU5" s="242"/>
      <c r="HV5" s="242"/>
      <c r="HW5" s="242"/>
      <c r="HX5" s="242"/>
      <c r="HY5" s="242"/>
      <c r="HZ5" s="242"/>
      <c r="IA5" s="242"/>
      <c r="IB5" s="242"/>
      <c r="IC5" s="242"/>
      <c r="ID5" s="242"/>
      <c r="IE5" s="242"/>
      <c r="IF5" s="242"/>
      <c r="IG5" s="242"/>
      <c r="IH5" s="242"/>
      <c r="II5" s="242"/>
      <c r="IJ5" s="242"/>
      <c r="IK5" s="242"/>
      <c r="IL5" s="242"/>
      <c r="IM5" s="242"/>
      <c r="IN5" s="242"/>
      <c r="IO5" s="242"/>
      <c r="IP5" s="242"/>
      <c r="IQ5" s="242"/>
      <c r="IR5" s="242"/>
      <c r="IS5" s="242"/>
      <c r="IT5" s="242"/>
      <c r="IU5" s="242"/>
      <c r="IV5" s="242"/>
    </row>
    <row r="6" spans="1:256" s="241" customFormat="1" ht="65.25">
      <c r="A6" s="699"/>
      <c r="B6" s="699"/>
      <c r="C6" s="699"/>
      <c r="D6" s="699"/>
      <c r="E6" s="699"/>
      <c r="F6" s="699"/>
      <c r="G6" s="699"/>
      <c r="H6" s="699"/>
      <c r="I6" s="699"/>
      <c r="J6" s="243" t="s">
        <v>362</v>
      </c>
      <c r="K6" s="243" t="s">
        <v>365</v>
      </c>
      <c r="L6" s="244" t="s">
        <v>366</v>
      </c>
      <c r="M6" s="244" t="s">
        <v>367</v>
      </c>
      <c r="N6" s="244" t="s">
        <v>368</v>
      </c>
      <c r="O6" s="244" t="s">
        <v>369</v>
      </c>
      <c r="P6" s="244"/>
      <c r="Q6" s="699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/>
      <c r="BY6" s="242"/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/>
      <c r="CK6" s="242"/>
      <c r="CL6" s="242"/>
      <c r="CM6" s="242"/>
      <c r="CN6" s="242"/>
      <c r="CO6" s="242"/>
      <c r="CP6" s="242"/>
      <c r="CQ6" s="242"/>
      <c r="CR6" s="242"/>
      <c r="CS6" s="242"/>
      <c r="CT6" s="242"/>
      <c r="CU6" s="242"/>
      <c r="CV6" s="242"/>
      <c r="CW6" s="242"/>
      <c r="CX6" s="242"/>
      <c r="CY6" s="242"/>
      <c r="CZ6" s="242"/>
      <c r="DA6" s="242"/>
      <c r="DB6" s="242"/>
      <c r="DC6" s="242"/>
      <c r="DD6" s="242"/>
      <c r="DE6" s="242"/>
      <c r="DF6" s="242"/>
      <c r="DG6" s="242"/>
      <c r="DH6" s="242"/>
      <c r="DI6" s="242"/>
      <c r="DJ6" s="242"/>
      <c r="DK6" s="242"/>
      <c r="DL6" s="242"/>
      <c r="DM6" s="242"/>
      <c r="DN6" s="242"/>
      <c r="DO6" s="242"/>
      <c r="DP6" s="242"/>
      <c r="DQ6" s="242"/>
      <c r="DR6" s="242"/>
      <c r="DS6" s="242"/>
      <c r="DT6" s="242"/>
      <c r="DU6" s="242"/>
      <c r="DV6" s="242"/>
      <c r="DW6" s="242"/>
      <c r="DX6" s="242"/>
      <c r="DY6" s="242"/>
      <c r="DZ6" s="242"/>
      <c r="EA6" s="242"/>
      <c r="EB6" s="242"/>
      <c r="EC6" s="242"/>
      <c r="ED6" s="242"/>
      <c r="EE6" s="242"/>
      <c r="EF6" s="242"/>
      <c r="EG6" s="242"/>
      <c r="EH6" s="242"/>
      <c r="EI6" s="242"/>
      <c r="EJ6" s="242"/>
      <c r="EK6" s="242"/>
      <c r="EL6" s="242"/>
      <c r="EM6" s="242"/>
      <c r="EN6" s="242"/>
      <c r="EO6" s="242"/>
      <c r="EP6" s="242"/>
      <c r="EQ6" s="242"/>
      <c r="ER6" s="242"/>
      <c r="ES6" s="242"/>
      <c r="ET6" s="242"/>
      <c r="EU6" s="242"/>
      <c r="EV6" s="242"/>
      <c r="EW6" s="242"/>
      <c r="EX6" s="242"/>
      <c r="EY6" s="242"/>
      <c r="EZ6" s="242"/>
      <c r="FA6" s="242"/>
      <c r="FB6" s="242"/>
      <c r="FC6" s="242"/>
      <c r="FD6" s="242"/>
      <c r="FE6" s="242"/>
      <c r="FF6" s="242"/>
      <c r="FG6" s="242"/>
      <c r="FH6" s="242"/>
      <c r="FI6" s="242"/>
      <c r="FJ6" s="242"/>
      <c r="FK6" s="242"/>
      <c r="FL6" s="242"/>
      <c r="FM6" s="242"/>
      <c r="FN6" s="242"/>
      <c r="FO6" s="242"/>
      <c r="FP6" s="242"/>
      <c r="FQ6" s="242"/>
      <c r="FR6" s="242"/>
      <c r="FS6" s="242"/>
      <c r="FT6" s="242"/>
      <c r="FU6" s="242"/>
      <c r="FV6" s="242"/>
      <c r="FW6" s="242"/>
      <c r="FX6" s="242"/>
      <c r="FY6" s="242"/>
      <c r="FZ6" s="242"/>
      <c r="GA6" s="242"/>
      <c r="GB6" s="242"/>
      <c r="GC6" s="242"/>
      <c r="GD6" s="242"/>
      <c r="GE6" s="242"/>
      <c r="GF6" s="242"/>
      <c r="GG6" s="242"/>
      <c r="GH6" s="242"/>
      <c r="GI6" s="242"/>
      <c r="GJ6" s="242"/>
      <c r="GK6" s="242"/>
      <c r="GL6" s="242"/>
      <c r="GM6" s="242"/>
      <c r="GN6" s="242"/>
      <c r="GO6" s="242"/>
      <c r="GP6" s="242"/>
      <c r="GQ6" s="242"/>
      <c r="GR6" s="242"/>
      <c r="GS6" s="242"/>
      <c r="GT6" s="242"/>
      <c r="GU6" s="242"/>
      <c r="GV6" s="242"/>
      <c r="GW6" s="242"/>
      <c r="GX6" s="242"/>
      <c r="GY6" s="242"/>
      <c r="GZ6" s="242"/>
      <c r="HA6" s="242"/>
      <c r="HB6" s="242"/>
      <c r="HC6" s="242"/>
      <c r="HD6" s="242"/>
      <c r="HE6" s="242"/>
      <c r="HF6" s="242"/>
      <c r="HG6" s="242"/>
      <c r="HH6" s="242"/>
      <c r="HI6" s="242"/>
      <c r="HJ6" s="242"/>
      <c r="HK6" s="242"/>
      <c r="HL6" s="242"/>
      <c r="HM6" s="242"/>
      <c r="HN6" s="242"/>
      <c r="HO6" s="242"/>
      <c r="HP6" s="242"/>
      <c r="HQ6" s="242"/>
      <c r="HR6" s="242"/>
      <c r="HS6" s="242"/>
      <c r="HT6" s="242"/>
      <c r="HU6" s="242"/>
      <c r="HV6" s="242"/>
      <c r="HW6" s="242"/>
      <c r="HX6" s="242"/>
      <c r="HY6" s="242"/>
      <c r="HZ6" s="242"/>
      <c r="IA6" s="242"/>
      <c r="IB6" s="242"/>
      <c r="IC6" s="242"/>
      <c r="ID6" s="242"/>
      <c r="IE6" s="242"/>
      <c r="IF6" s="242"/>
      <c r="IG6" s="242"/>
      <c r="IH6" s="242"/>
      <c r="II6" s="242"/>
      <c r="IJ6" s="242"/>
      <c r="IK6" s="242"/>
      <c r="IL6" s="242"/>
      <c r="IM6" s="242"/>
      <c r="IN6" s="242"/>
      <c r="IO6" s="242"/>
      <c r="IP6" s="242"/>
      <c r="IQ6" s="242"/>
      <c r="IR6" s="242"/>
      <c r="IS6" s="242"/>
      <c r="IT6" s="242"/>
      <c r="IU6" s="242"/>
      <c r="IV6" s="242"/>
    </row>
    <row r="7" spans="1:256" s="241" customFormat="1">
      <c r="A7" s="244">
        <v>1</v>
      </c>
      <c r="B7" s="245" t="s">
        <v>370</v>
      </c>
      <c r="C7" s="244">
        <v>115</v>
      </c>
      <c r="D7" s="244"/>
      <c r="E7" s="244"/>
      <c r="F7" s="244"/>
      <c r="G7" s="244"/>
      <c r="H7" s="244"/>
      <c r="I7" s="244"/>
      <c r="J7" s="244"/>
      <c r="K7" s="244"/>
      <c r="L7" s="244" t="s">
        <v>371</v>
      </c>
      <c r="M7" s="244" t="s">
        <v>18</v>
      </c>
      <c r="N7" s="244" t="s">
        <v>18</v>
      </c>
      <c r="O7" s="244" t="s">
        <v>18</v>
      </c>
      <c r="P7" s="246"/>
      <c r="Q7" s="244" t="s">
        <v>18</v>
      </c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2"/>
      <c r="BD7" s="242"/>
      <c r="BE7" s="242"/>
      <c r="BF7" s="242"/>
      <c r="BG7" s="242"/>
      <c r="BH7" s="242"/>
      <c r="BI7" s="242"/>
      <c r="BJ7" s="242"/>
      <c r="BK7" s="242"/>
      <c r="BL7" s="242"/>
      <c r="BM7" s="242"/>
      <c r="BN7" s="242"/>
      <c r="BO7" s="242"/>
      <c r="BP7" s="242"/>
      <c r="BQ7" s="242"/>
      <c r="BR7" s="242"/>
      <c r="BS7" s="242"/>
      <c r="BT7" s="242"/>
      <c r="BU7" s="242"/>
      <c r="BV7" s="242"/>
      <c r="BW7" s="242"/>
      <c r="BX7" s="242"/>
      <c r="BY7" s="242"/>
      <c r="BZ7" s="242"/>
      <c r="CA7" s="242"/>
      <c r="CB7" s="242"/>
      <c r="CC7" s="242"/>
      <c r="CD7" s="242"/>
      <c r="CE7" s="242"/>
      <c r="CF7" s="242"/>
      <c r="CG7" s="242"/>
      <c r="CH7" s="242"/>
      <c r="CI7" s="242"/>
      <c r="CJ7" s="242"/>
      <c r="CK7" s="242"/>
      <c r="CL7" s="242"/>
      <c r="CM7" s="242"/>
      <c r="CN7" s="242"/>
      <c r="CO7" s="242"/>
      <c r="CP7" s="242"/>
      <c r="CQ7" s="242"/>
      <c r="CR7" s="242"/>
      <c r="CS7" s="242"/>
      <c r="CT7" s="242"/>
      <c r="CU7" s="242"/>
      <c r="CV7" s="242"/>
      <c r="CW7" s="242"/>
      <c r="CX7" s="242"/>
      <c r="CY7" s="242"/>
      <c r="CZ7" s="242"/>
      <c r="DA7" s="242"/>
      <c r="DB7" s="242"/>
      <c r="DC7" s="242"/>
      <c r="DD7" s="242"/>
      <c r="DE7" s="242"/>
      <c r="DF7" s="242"/>
      <c r="DG7" s="242"/>
      <c r="DH7" s="242"/>
      <c r="DI7" s="242"/>
      <c r="DJ7" s="242"/>
      <c r="DK7" s="242"/>
      <c r="DL7" s="242"/>
      <c r="DM7" s="242"/>
      <c r="DN7" s="242"/>
      <c r="DO7" s="242"/>
      <c r="DP7" s="242"/>
      <c r="DQ7" s="242"/>
      <c r="DR7" s="242"/>
      <c r="DS7" s="242"/>
      <c r="DT7" s="242"/>
      <c r="DU7" s="242"/>
      <c r="DV7" s="242"/>
      <c r="DW7" s="242"/>
      <c r="DX7" s="242"/>
      <c r="DY7" s="242"/>
      <c r="DZ7" s="242"/>
      <c r="EA7" s="242"/>
      <c r="EB7" s="242"/>
      <c r="EC7" s="242"/>
      <c r="ED7" s="242"/>
      <c r="EE7" s="242"/>
      <c r="EF7" s="242"/>
      <c r="EG7" s="242"/>
      <c r="EH7" s="242"/>
      <c r="EI7" s="242"/>
      <c r="EJ7" s="242"/>
      <c r="EK7" s="242"/>
      <c r="EL7" s="242"/>
      <c r="EM7" s="242"/>
      <c r="EN7" s="242"/>
      <c r="EO7" s="242"/>
      <c r="EP7" s="242"/>
      <c r="EQ7" s="242"/>
      <c r="ER7" s="242"/>
      <c r="ES7" s="242"/>
      <c r="ET7" s="242"/>
      <c r="EU7" s="242"/>
      <c r="EV7" s="242"/>
      <c r="EW7" s="242"/>
      <c r="EX7" s="242"/>
      <c r="EY7" s="242"/>
      <c r="EZ7" s="242"/>
      <c r="FA7" s="242"/>
      <c r="FB7" s="242"/>
      <c r="FC7" s="242"/>
      <c r="FD7" s="242"/>
      <c r="FE7" s="242"/>
      <c r="FF7" s="242"/>
      <c r="FG7" s="242"/>
      <c r="FH7" s="242"/>
      <c r="FI7" s="242"/>
      <c r="FJ7" s="242"/>
      <c r="FK7" s="242"/>
      <c r="FL7" s="242"/>
      <c r="FM7" s="242"/>
      <c r="FN7" s="242"/>
      <c r="FO7" s="242"/>
      <c r="FP7" s="242"/>
      <c r="FQ7" s="242"/>
      <c r="FR7" s="242"/>
      <c r="FS7" s="242"/>
      <c r="FT7" s="242"/>
      <c r="FU7" s="242"/>
      <c r="FV7" s="242"/>
      <c r="FW7" s="242"/>
      <c r="FX7" s="242"/>
      <c r="FY7" s="242"/>
      <c r="FZ7" s="242"/>
      <c r="GA7" s="242"/>
      <c r="GB7" s="242"/>
      <c r="GC7" s="242"/>
      <c r="GD7" s="242"/>
      <c r="GE7" s="242"/>
      <c r="GF7" s="242"/>
      <c r="GG7" s="242"/>
      <c r="GH7" s="242"/>
      <c r="GI7" s="242"/>
      <c r="GJ7" s="242"/>
      <c r="GK7" s="242"/>
      <c r="GL7" s="242"/>
      <c r="GM7" s="242"/>
      <c r="GN7" s="242"/>
      <c r="GO7" s="242"/>
      <c r="GP7" s="242"/>
      <c r="GQ7" s="242"/>
      <c r="GR7" s="242"/>
      <c r="GS7" s="242"/>
      <c r="GT7" s="242"/>
      <c r="GU7" s="242"/>
      <c r="GV7" s="242"/>
      <c r="GW7" s="242"/>
      <c r="GX7" s="242"/>
      <c r="GY7" s="242"/>
      <c r="GZ7" s="242"/>
      <c r="HA7" s="242"/>
      <c r="HB7" s="242"/>
      <c r="HC7" s="242"/>
      <c r="HD7" s="242"/>
      <c r="HE7" s="242"/>
      <c r="HF7" s="242"/>
      <c r="HG7" s="242"/>
      <c r="HH7" s="242"/>
      <c r="HI7" s="242"/>
      <c r="HJ7" s="242"/>
      <c r="HK7" s="242"/>
      <c r="HL7" s="242"/>
      <c r="HM7" s="242"/>
      <c r="HN7" s="242"/>
      <c r="HO7" s="242"/>
      <c r="HP7" s="242"/>
      <c r="HQ7" s="242"/>
      <c r="HR7" s="242"/>
      <c r="HS7" s="242"/>
      <c r="HT7" s="242"/>
      <c r="HU7" s="242"/>
      <c r="HV7" s="242"/>
      <c r="HW7" s="242"/>
      <c r="HX7" s="242"/>
      <c r="HY7" s="242"/>
      <c r="HZ7" s="242"/>
      <c r="IA7" s="242"/>
      <c r="IB7" s="242"/>
      <c r="IC7" s="242"/>
      <c r="ID7" s="242"/>
      <c r="IE7" s="242"/>
      <c r="IF7" s="242"/>
      <c r="IG7" s="242"/>
      <c r="IH7" s="242"/>
      <c r="II7" s="242"/>
      <c r="IJ7" s="242"/>
      <c r="IK7" s="242"/>
      <c r="IL7" s="242"/>
      <c r="IM7" s="242"/>
      <c r="IN7" s="242"/>
      <c r="IO7" s="242"/>
      <c r="IP7" s="242"/>
      <c r="IQ7" s="242"/>
      <c r="IR7" s="242"/>
      <c r="IS7" s="242"/>
      <c r="IT7" s="242"/>
      <c r="IU7" s="242"/>
      <c r="IV7" s="242"/>
    </row>
    <row r="8" spans="1:256" s="241" customFormat="1">
      <c r="A8" s="247" t="s">
        <v>18</v>
      </c>
      <c r="B8" s="248" t="s">
        <v>372</v>
      </c>
      <c r="C8" s="247"/>
      <c r="D8" s="249"/>
      <c r="E8" s="249" t="s">
        <v>18</v>
      </c>
      <c r="F8" s="250" t="s">
        <v>18</v>
      </c>
      <c r="G8" s="251" t="s">
        <v>18</v>
      </c>
      <c r="H8" s="251"/>
      <c r="I8" s="251"/>
      <c r="J8" s="252"/>
      <c r="K8" s="252"/>
      <c r="L8" s="247"/>
      <c r="M8" s="247"/>
      <c r="N8" s="247"/>
      <c r="O8" s="247"/>
      <c r="P8" s="247"/>
      <c r="Q8" s="249"/>
    </row>
    <row r="9" spans="1:256" s="260" customFormat="1">
      <c r="A9" s="253">
        <v>1</v>
      </c>
      <c r="B9" s="254" t="s">
        <v>373</v>
      </c>
      <c r="C9" s="255">
        <v>5</v>
      </c>
      <c r="D9" s="256">
        <f>[1]report_ไตรมาส!P6</f>
        <v>5641700</v>
      </c>
      <c r="E9" s="256">
        <f>[1]report_ไตรมาส!Q6</f>
        <v>932985.2699999999</v>
      </c>
      <c r="F9" s="256">
        <f>[1]report_ไตรมาส!R6</f>
        <v>839418.22000000009</v>
      </c>
      <c r="G9" s="256">
        <v>0</v>
      </c>
      <c r="H9" s="256">
        <v>0</v>
      </c>
      <c r="I9" s="256">
        <f t="shared" ref="I9:I18" si="0">(E9+F9)/D9*100</f>
        <v>31.416124395129131</v>
      </c>
      <c r="J9" s="257">
        <v>5</v>
      </c>
      <c r="K9" s="257">
        <v>0</v>
      </c>
      <c r="L9" s="258">
        <v>2</v>
      </c>
      <c r="M9" s="258">
        <v>3</v>
      </c>
      <c r="N9" s="258">
        <v>0</v>
      </c>
      <c r="O9" s="258">
        <v>0</v>
      </c>
      <c r="P9" s="211"/>
      <c r="Q9" s="212" t="s">
        <v>18</v>
      </c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  <c r="DN9" s="259"/>
      <c r="DO9" s="259"/>
      <c r="DP9" s="259"/>
      <c r="DQ9" s="259"/>
      <c r="DR9" s="259"/>
      <c r="DS9" s="259"/>
      <c r="DT9" s="259"/>
      <c r="DU9" s="259"/>
      <c r="DV9" s="259"/>
      <c r="DW9" s="259"/>
      <c r="DX9" s="259"/>
      <c r="DY9" s="259"/>
      <c r="DZ9" s="259"/>
      <c r="EA9" s="259"/>
      <c r="EB9" s="259"/>
      <c r="EC9" s="259"/>
      <c r="ED9" s="259"/>
      <c r="EE9" s="259"/>
      <c r="EF9" s="259"/>
      <c r="EG9" s="259"/>
      <c r="EH9" s="259"/>
      <c r="EI9" s="259"/>
      <c r="EJ9" s="259"/>
      <c r="EK9" s="259"/>
      <c r="EL9" s="259"/>
      <c r="EM9" s="259"/>
      <c r="EN9" s="259"/>
      <c r="EO9" s="259"/>
      <c r="EP9" s="259"/>
      <c r="EQ9" s="259"/>
      <c r="ER9" s="259"/>
      <c r="ES9" s="259"/>
      <c r="ET9" s="259"/>
      <c r="EU9" s="259"/>
      <c r="EV9" s="259"/>
      <c r="EW9" s="259"/>
      <c r="EX9" s="259"/>
      <c r="EY9" s="259"/>
      <c r="EZ9" s="259"/>
      <c r="FA9" s="259"/>
      <c r="FB9" s="259"/>
      <c r="FC9" s="259"/>
      <c r="FD9" s="259"/>
      <c r="FE9" s="259"/>
      <c r="FF9" s="259"/>
      <c r="FG9" s="259"/>
      <c r="FH9" s="259"/>
      <c r="FI9" s="259"/>
      <c r="FJ9" s="259"/>
      <c r="FK9" s="259"/>
      <c r="FL9" s="259"/>
      <c r="FM9" s="259"/>
      <c r="FN9" s="259"/>
      <c r="FO9" s="259"/>
      <c r="FP9" s="259"/>
      <c r="FQ9" s="259"/>
      <c r="FR9" s="259"/>
      <c r="FS9" s="259"/>
      <c r="FT9" s="259"/>
      <c r="FU9" s="259"/>
      <c r="FV9" s="259"/>
      <c r="FW9" s="259"/>
      <c r="FX9" s="259"/>
      <c r="FY9" s="259"/>
      <c r="FZ9" s="259"/>
      <c r="GA9" s="259"/>
      <c r="GB9" s="259"/>
      <c r="GC9" s="259"/>
      <c r="GD9" s="259"/>
      <c r="GE9" s="259"/>
      <c r="GF9" s="259"/>
      <c r="GG9" s="259"/>
      <c r="GH9" s="259"/>
      <c r="GI9" s="259"/>
      <c r="GJ9" s="259"/>
      <c r="GK9" s="259"/>
      <c r="GL9" s="259"/>
      <c r="GM9" s="259"/>
      <c r="GN9" s="259"/>
      <c r="GO9" s="259"/>
      <c r="GP9" s="259"/>
      <c r="GQ9" s="259"/>
      <c r="GR9" s="259"/>
      <c r="GS9" s="259"/>
      <c r="GT9" s="259"/>
      <c r="GU9" s="259"/>
      <c r="GV9" s="259"/>
      <c r="GW9" s="259"/>
      <c r="GX9" s="259"/>
      <c r="GY9" s="259"/>
      <c r="GZ9" s="259"/>
      <c r="HA9" s="259"/>
      <c r="HB9" s="259"/>
      <c r="HC9" s="259"/>
      <c r="HD9" s="259"/>
      <c r="HE9" s="259"/>
      <c r="HF9" s="259"/>
      <c r="HG9" s="259"/>
      <c r="HH9" s="259"/>
      <c r="HI9" s="259"/>
      <c r="HJ9" s="259"/>
      <c r="HK9" s="259"/>
      <c r="HL9" s="259"/>
      <c r="HM9" s="259"/>
      <c r="HN9" s="259"/>
      <c r="HO9" s="259"/>
      <c r="HP9" s="259"/>
      <c r="HQ9" s="259"/>
      <c r="HR9" s="259"/>
      <c r="HS9" s="259"/>
      <c r="HT9" s="259"/>
      <c r="HU9" s="259"/>
      <c r="HV9" s="259"/>
      <c r="HW9" s="259"/>
      <c r="HX9" s="259"/>
      <c r="HY9" s="259"/>
      <c r="HZ9" s="259"/>
      <c r="IA9" s="259"/>
      <c r="IB9" s="259"/>
      <c r="IC9" s="259"/>
      <c r="ID9" s="259"/>
      <c r="IE9" s="259"/>
      <c r="IF9" s="259"/>
      <c r="IG9" s="259"/>
      <c r="IH9" s="259"/>
      <c r="II9" s="259"/>
      <c r="IJ9" s="259"/>
      <c r="IK9" s="259"/>
      <c r="IL9" s="259"/>
      <c r="IM9" s="259"/>
      <c r="IN9" s="259"/>
      <c r="IO9" s="259"/>
      <c r="IP9" s="259"/>
      <c r="IQ9" s="259"/>
      <c r="IR9" s="259"/>
      <c r="IS9" s="259"/>
      <c r="IT9" s="259"/>
      <c r="IU9" s="259"/>
      <c r="IV9" s="259"/>
    </row>
    <row r="10" spans="1:256" s="260" customFormat="1">
      <c r="A10" s="253">
        <v>2</v>
      </c>
      <c r="B10" s="261" t="s">
        <v>374</v>
      </c>
      <c r="C10" s="227">
        <v>8</v>
      </c>
      <c r="D10" s="226">
        <f>[2]รายงานการดำเนินงาน!N87</f>
        <v>160500</v>
      </c>
      <c r="E10" s="226">
        <f>[2]รายงานการดำเนินงาน!Q87</f>
        <v>0</v>
      </c>
      <c r="F10" s="226">
        <f>[1]report_ไตรมาส!R43</f>
        <v>20000</v>
      </c>
      <c r="G10" s="226">
        <v>0</v>
      </c>
      <c r="H10" s="226">
        <v>0</v>
      </c>
      <c r="I10" s="214">
        <f t="shared" si="0"/>
        <v>12.461059190031152</v>
      </c>
      <c r="J10" s="262">
        <v>0</v>
      </c>
      <c r="K10" s="262">
        <v>8</v>
      </c>
      <c r="L10" s="262" t="s">
        <v>371</v>
      </c>
      <c r="M10" s="262" t="s">
        <v>371</v>
      </c>
      <c r="N10" s="262">
        <v>1</v>
      </c>
      <c r="O10" s="262" t="s">
        <v>371</v>
      </c>
      <c r="P10" s="214"/>
      <c r="Q10" s="215" t="s">
        <v>375</v>
      </c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59"/>
      <c r="BF10" s="259"/>
      <c r="BG10" s="259"/>
      <c r="BH10" s="259"/>
      <c r="BI10" s="259"/>
      <c r="BJ10" s="259"/>
      <c r="BK10" s="259"/>
      <c r="BL10" s="259"/>
      <c r="BM10" s="259"/>
      <c r="BN10" s="259"/>
      <c r="BO10" s="259"/>
      <c r="BP10" s="259"/>
      <c r="BQ10" s="259"/>
      <c r="BR10" s="259"/>
      <c r="BS10" s="259"/>
      <c r="BT10" s="259"/>
      <c r="BU10" s="259"/>
      <c r="BV10" s="259"/>
      <c r="BW10" s="259"/>
      <c r="BX10" s="259"/>
      <c r="BY10" s="259"/>
      <c r="BZ10" s="259"/>
      <c r="CA10" s="259"/>
      <c r="CB10" s="259"/>
      <c r="CC10" s="259"/>
      <c r="CD10" s="259"/>
      <c r="CE10" s="259"/>
      <c r="CF10" s="259"/>
      <c r="CG10" s="259"/>
      <c r="CH10" s="259"/>
      <c r="CI10" s="259"/>
      <c r="CJ10" s="259"/>
      <c r="CK10" s="259"/>
      <c r="CL10" s="259"/>
      <c r="CM10" s="259"/>
      <c r="CN10" s="259"/>
      <c r="CO10" s="259"/>
      <c r="CP10" s="259"/>
      <c r="CQ10" s="259"/>
      <c r="CR10" s="259"/>
      <c r="CS10" s="259"/>
      <c r="CT10" s="259"/>
      <c r="CU10" s="259"/>
      <c r="CV10" s="259"/>
      <c r="CW10" s="259"/>
      <c r="CX10" s="259"/>
      <c r="CY10" s="259"/>
      <c r="CZ10" s="259"/>
      <c r="DA10" s="259"/>
      <c r="DB10" s="259"/>
      <c r="DC10" s="259"/>
      <c r="DD10" s="259"/>
      <c r="DE10" s="259"/>
      <c r="DF10" s="259"/>
      <c r="DG10" s="259"/>
      <c r="DH10" s="259"/>
      <c r="DI10" s="259"/>
      <c r="DJ10" s="259"/>
      <c r="DK10" s="259"/>
      <c r="DL10" s="259"/>
      <c r="DM10" s="259"/>
      <c r="DN10" s="259"/>
      <c r="DO10" s="259"/>
      <c r="DP10" s="259"/>
      <c r="DQ10" s="259"/>
      <c r="DR10" s="259"/>
      <c r="DS10" s="259"/>
      <c r="DT10" s="259"/>
      <c r="DU10" s="259"/>
      <c r="DV10" s="259"/>
      <c r="DW10" s="259"/>
      <c r="DX10" s="259"/>
      <c r="DY10" s="259"/>
      <c r="DZ10" s="259"/>
      <c r="EA10" s="259"/>
      <c r="EB10" s="259"/>
      <c r="EC10" s="259"/>
      <c r="ED10" s="259"/>
      <c r="EE10" s="259"/>
      <c r="EF10" s="259"/>
      <c r="EG10" s="259"/>
      <c r="EH10" s="259"/>
      <c r="EI10" s="259"/>
      <c r="EJ10" s="259"/>
      <c r="EK10" s="259"/>
      <c r="EL10" s="259"/>
      <c r="EM10" s="259"/>
      <c r="EN10" s="259"/>
      <c r="EO10" s="259"/>
      <c r="EP10" s="259"/>
      <c r="EQ10" s="259"/>
      <c r="ER10" s="259"/>
      <c r="ES10" s="259"/>
      <c r="ET10" s="259"/>
      <c r="EU10" s="259"/>
      <c r="EV10" s="259"/>
      <c r="EW10" s="259"/>
      <c r="EX10" s="259"/>
      <c r="EY10" s="259"/>
      <c r="EZ10" s="259"/>
      <c r="FA10" s="259"/>
      <c r="FB10" s="259"/>
      <c r="FC10" s="259"/>
      <c r="FD10" s="259"/>
      <c r="FE10" s="259"/>
      <c r="FF10" s="259"/>
      <c r="FG10" s="259"/>
      <c r="FH10" s="259"/>
      <c r="FI10" s="259"/>
      <c r="FJ10" s="259"/>
      <c r="FK10" s="259"/>
      <c r="FL10" s="259"/>
      <c r="FM10" s="259"/>
      <c r="FN10" s="259"/>
      <c r="FO10" s="259"/>
      <c r="FP10" s="259"/>
      <c r="FQ10" s="259"/>
      <c r="FR10" s="259"/>
      <c r="FS10" s="259"/>
      <c r="FT10" s="259"/>
      <c r="FU10" s="259"/>
      <c r="FV10" s="259"/>
      <c r="FW10" s="259"/>
      <c r="FX10" s="259"/>
      <c r="FY10" s="259"/>
      <c r="FZ10" s="259"/>
      <c r="GA10" s="259"/>
      <c r="GB10" s="259"/>
      <c r="GC10" s="259"/>
      <c r="GD10" s="259"/>
      <c r="GE10" s="259"/>
      <c r="GF10" s="259"/>
      <c r="GG10" s="259"/>
      <c r="GH10" s="259"/>
      <c r="GI10" s="259"/>
      <c r="GJ10" s="259"/>
      <c r="GK10" s="259"/>
      <c r="GL10" s="259"/>
      <c r="GM10" s="259"/>
      <c r="GN10" s="259"/>
      <c r="GO10" s="259"/>
      <c r="GP10" s="259"/>
      <c r="GQ10" s="259"/>
      <c r="GR10" s="259"/>
      <c r="GS10" s="259"/>
      <c r="GT10" s="259"/>
      <c r="GU10" s="259"/>
      <c r="GV10" s="259"/>
      <c r="GW10" s="259"/>
      <c r="GX10" s="259"/>
      <c r="GY10" s="259"/>
      <c r="GZ10" s="259"/>
      <c r="HA10" s="259"/>
      <c r="HB10" s="259"/>
      <c r="HC10" s="259"/>
      <c r="HD10" s="259"/>
      <c r="HE10" s="259"/>
      <c r="HF10" s="259"/>
      <c r="HG10" s="259"/>
      <c r="HH10" s="259"/>
      <c r="HI10" s="259"/>
      <c r="HJ10" s="259"/>
      <c r="HK10" s="259"/>
      <c r="HL10" s="259"/>
      <c r="HM10" s="259"/>
      <c r="HN10" s="259"/>
      <c r="HO10" s="259"/>
      <c r="HP10" s="259"/>
      <c r="HQ10" s="259"/>
      <c r="HR10" s="259"/>
      <c r="HS10" s="259"/>
      <c r="HT10" s="259"/>
      <c r="HU10" s="259"/>
      <c r="HV10" s="259"/>
      <c r="HW10" s="259"/>
      <c r="HX10" s="259"/>
      <c r="HY10" s="259"/>
      <c r="HZ10" s="259"/>
      <c r="IA10" s="259"/>
      <c r="IB10" s="259"/>
      <c r="IC10" s="259"/>
      <c r="ID10" s="259"/>
      <c r="IE10" s="259"/>
      <c r="IF10" s="259"/>
      <c r="IG10" s="259"/>
      <c r="IH10" s="259"/>
      <c r="II10" s="259"/>
      <c r="IJ10" s="259"/>
      <c r="IK10" s="259"/>
      <c r="IL10" s="259"/>
      <c r="IM10" s="259"/>
      <c r="IN10" s="259"/>
      <c r="IO10" s="259"/>
      <c r="IP10" s="259"/>
      <c r="IQ10" s="259"/>
      <c r="IR10" s="259"/>
      <c r="IS10" s="259"/>
      <c r="IT10" s="259"/>
      <c r="IU10" s="259"/>
      <c r="IV10" s="259"/>
    </row>
    <row r="11" spans="1:256" s="260" customFormat="1">
      <c r="A11" s="253">
        <v>3</v>
      </c>
      <c r="B11" s="261" t="s">
        <v>376</v>
      </c>
      <c r="C11" s="227">
        <v>15</v>
      </c>
      <c r="D11" s="226">
        <f>[1]report_ไตรมาส!P52</f>
        <v>2500000</v>
      </c>
      <c r="E11" s="226">
        <f>[1]report_ไตรมาส!Q52</f>
        <v>149945</v>
      </c>
      <c r="F11" s="226">
        <f>[1]report_ไตรมาส!R52</f>
        <v>647890.80000000005</v>
      </c>
      <c r="G11" s="226">
        <v>0</v>
      </c>
      <c r="H11" s="226">
        <v>0</v>
      </c>
      <c r="I11" s="214">
        <f t="shared" si="0"/>
        <v>31.913432000000004</v>
      </c>
      <c r="J11" s="262">
        <v>2</v>
      </c>
      <c r="K11" s="262">
        <v>13</v>
      </c>
      <c r="L11" s="262" t="s">
        <v>371</v>
      </c>
      <c r="M11" s="262">
        <v>1</v>
      </c>
      <c r="N11" s="262">
        <v>0</v>
      </c>
      <c r="O11" s="262">
        <v>0</v>
      </c>
      <c r="P11" s="214"/>
      <c r="Q11" s="215" t="s">
        <v>18</v>
      </c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59"/>
      <c r="BX11" s="259"/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259"/>
      <c r="CK11" s="259"/>
      <c r="CL11" s="259"/>
      <c r="CM11" s="259"/>
      <c r="CN11" s="259"/>
      <c r="CO11" s="259"/>
      <c r="CP11" s="259"/>
      <c r="CQ11" s="259"/>
      <c r="CR11" s="259"/>
      <c r="CS11" s="259"/>
      <c r="CT11" s="259"/>
      <c r="CU11" s="259"/>
      <c r="CV11" s="259"/>
      <c r="CW11" s="259"/>
      <c r="CX11" s="259"/>
      <c r="CY11" s="259"/>
      <c r="CZ11" s="259"/>
      <c r="DA11" s="259"/>
      <c r="DB11" s="259"/>
      <c r="DC11" s="259"/>
      <c r="DD11" s="259"/>
      <c r="DE11" s="259"/>
      <c r="DF11" s="259"/>
      <c r="DG11" s="259"/>
      <c r="DH11" s="259"/>
      <c r="DI11" s="259"/>
      <c r="DJ11" s="259"/>
      <c r="DK11" s="259"/>
      <c r="DL11" s="259"/>
      <c r="DM11" s="259"/>
      <c r="DN11" s="259"/>
      <c r="DO11" s="259"/>
      <c r="DP11" s="259"/>
      <c r="DQ11" s="259"/>
      <c r="DR11" s="259"/>
      <c r="DS11" s="259"/>
      <c r="DT11" s="259"/>
      <c r="DU11" s="259"/>
      <c r="DV11" s="259"/>
      <c r="DW11" s="259"/>
      <c r="DX11" s="259"/>
      <c r="DY11" s="259"/>
      <c r="DZ11" s="259"/>
      <c r="EA11" s="259"/>
      <c r="EB11" s="259"/>
      <c r="EC11" s="259"/>
      <c r="ED11" s="259"/>
      <c r="EE11" s="259"/>
      <c r="EF11" s="259"/>
      <c r="EG11" s="259"/>
      <c r="EH11" s="259"/>
      <c r="EI11" s="259"/>
      <c r="EJ11" s="259"/>
      <c r="EK11" s="259"/>
      <c r="EL11" s="259"/>
      <c r="EM11" s="259"/>
      <c r="EN11" s="259"/>
      <c r="EO11" s="259"/>
      <c r="EP11" s="259"/>
      <c r="EQ11" s="259"/>
      <c r="ER11" s="259"/>
      <c r="ES11" s="259"/>
      <c r="ET11" s="259"/>
      <c r="EU11" s="259"/>
      <c r="EV11" s="259"/>
      <c r="EW11" s="259"/>
      <c r="EX11" s="259"/>
      <c r="EY11" s="259"/>
      <c r="EZ11" s="259"/>
      <c r="FA11" s="259"/>
      <c r="FB11" s="259"/>
      <c r="FC11" s="259"/>
      <c r="FD11" s="259"/>
      <c r="FE11" s="259"/>
      <c r="FF11" s="259"/>
      <c r="FG11" s="259"/>
      <c r="FH11" s="259"/>
      <c r="FI11" s="259"/>
      <c r="FJ11" s="259"/>
      <c r="FK11" s="259"/>
      <c r="FL11" s="259"/>
      <c r="FM11" s="259"/>
      <c r="FN11" s="259"/>
      <c r="FO11" s="259"/>
      <c r="FP11" s="259"/>
      <c r="FQ11" s="259"/>
      <c r="FR11" s="259"/>
      <c r="FS11" s="259"/>
      <c r="FT11" s="259"/>
      <c r="FU11" s="259"/>
      <c r="FV11" s="259"/>
      <c r="FW11" s="259"/>
      <c r="FX11" s="259"/>
      <c r="FY11" s="259"/>
      <c r="FZ11" s="259"/>
      <c r="GA11" s="259"/>
      <c r="GB11" s="259"/>
      <c r="GC11" s="259"/>
      <c r="GD11" s="259"/>
      <c r="GE11" s="259"/>
      <c r="GF11" s="259"/>
      <c r="GG11" s="259"/>
      <c r="GH11" s="259"/>
      <c r="GI11" s="259"/>
      <c r="GJ11" s="259"/>
      <c r="GK11" s="259"/>
      <c r="GL11" s="259"/>
      <c r="GM11" s="259"/>
      <c r="GN11" s="259"/>
      <c r="GO11" s="259"/>
      <c r="GP11" s="259"/>
      <c r="GQ11" s="259"/>
      <c r="GR11" s="259"/>
      <c r="GS11" s="259"/>
      <c r="GT11" s="259"/>
      <c r="GU11" s="259"/>
      <c r="GV11" s="259"/>
      <c r="GW11" s="259"/>
      <c r="GX11" s="259"/>
      <c r="GY11" s="259"/>
      <c r="GZ11" s="259"/>
      <c r="HA11" s="259"/>
      <c r="HB11" s="259"/>
      <c r="HC11" s="259"/>
      <c r="HD11" s="259"/>
      <c r="HE11" s="259"/>
      <c r="HF11" s="259"/>
      <c r="HG11" s="259"/>
      <c r="HH11" s="259"/>
      <c r="HI11" s="259"/>
      <c r="HJ11" s="259"/>
      <c r="HK11" s="259"/>
      <c r="HL11" s="259"/>
      <c r="HM11" s="259"/>
      <c r="HN11" s="259"/>
      <c r="HO11" s="259"/>
      <c r="HP11" s="259"/>
      <c r="HQ11" s="259"/>
      <c r="HR11" s="259"/>
      <c r="HS11" s="259"/>
      <c r="HT11" s="259"/>
      <c r="HU11" s="259"/>
      <c r="HV11" s="259"/>
      <c r="HW11" s="259"/>
      <c r="HX11" s="259"/>
      <c r="HY11" s="259"/>
      <c r="HZ11" s="259"/>
      <c r="IA11" s="259"/>
      <c r="IB11" s="259"/>
      <c r="IC11" s="259"/>
      <c r="ID11" s="259"/>
      <c r="IE11" s="259"/>
      <c r="IF11" s="259"/>
      <c r="IG11" s="259"/>
      <c r="IH11" s="259"/>
      <c r="II11" s="259"/>
      <c r="IJ11" s="259"/>
      <c r="IK11" s="259"/>
      <c r="IL11" s="259"/>
      <c r="IM11" s="259"/>
      <c r="IN11" s="259"/>
      <c r="IO11" s="259"/>
      <c r="IP11" s="259"/>
      <c r="IQ11" s="259"/>
      <c r="IR11" s="259"/>
      <c r="IS11" s="259"/>
      <c r="IT11" s="259"/>
      <c r="IU11" s="259"/>
      <c r="IV11" s="259"/>
    </row>
    <row r="12" spans="1:256" s="260" customFormat="1">
      <c r="A12" s="253">
        <v>4</v>
      </c>
      <c r="B12" s="263" t="s">
        <v>377</v>
      </c>
      <c r="C12" s="227">
        <v>1</v>
      </c>
      <c r="D12" s="226">
        <f>[1]report_ไตรมาส!P75</f>
        <v>200000</v>
      </c>
      <c r="E12" s="226">
        <f>[1]report_ไตรมาส!Q75</f>
        <v>26052</v>
      </c>
      <c r="F12" s="226">
        <f>[1]report_ไตรมาส!R75</f>
        <v>77988</v>
      </c>
      <c r="G12" s="226">
        <v>0</v>
      </c>
      <c r="H12" s="226">
        <v>0</v>
      </c>
      <c r="I12" s="264">
        <f t="shared" si="0"/>
        <v>52.019999999999996</v>
      </c>
      <c r="J12" s="265">
        <v>1</v>
      </c>
      <c r="K12" s="265">
        <v>0</v>
      </c>
      <c r="L12" s="262">
        <v>0</v>
      </c>
      <c r="M12" s="262">
        <v>1</v>
      </c>
      <c r="N12" s="262">
        <v>0</v>
      </c>
      <c r="O12" s="262" t="s">
        <v>371</v>
      </c>
      <c r="P12" s="216"/>
      <c r="Q12" s="215" t="s">
        <v>18</v>
      </c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259"/>
      <c r="DB12" s="259"/>
      <c r="DC12" s="259"/>
      <c r="DD12" s="259"/>
      <c r="DE12" s="259"/>
      <c r="DF12" s="259"/>
      <c r="DG12" s="259"/>
      <c r="DH12" s="259"/>
      <c r="DI12" s="259"/>
      <c r="DJ12" s="259"/>
      <c r="DK12" s="259"/>
      <c r="DL12" s="259"/>
      <c r="DM12" s="259"/>
      <c r="DN12" s="259"/>
      <c r="DO12" s="259"/>
      <c r="DP12" s="259"/>
      <c r="DQ12" s="259"/>
      <c r="DR12" s="259"/>
      <c r="DS12" s="259"/>
      <c r="DT12" s="259"/>
      <c r="DU12" s="259"/>
      <c r="DV12" s="259"/>
      <c r="DW12" s="259"/>
      <c r="DX12" s="259"/>
      <c r="DY12" s="259"/>
      <c r="DZ12" s="259"/>
      <c r="EA12" s="259"/>
      <c r="EB12" s="259"/>
      <c r="EC12" s="259"/>
      <c r="ED12" s="259"/>
      <c r="EE12" s="259"/>
      <c r="EF12" s="259"/>
      <c r="EG12" s="259"/>
      <c r="EH12" s="259"/>
      <c r="EI12" s="259"/>
      <c r="EJ12" s="259"/>
      <c r="EK12" s="259"/>
      <c r="EL12" s="259"/>
      <c r="EM12" s="259"/>
      <c r="EN12" s="259"/>
      <c r="EO12" s="259"/>
      <c r="EP12" s="259"/>
      <c r="EQ12" s="259"/>
      <c r="ER12" s="259"/>
      <c r="ES12" s="259"/>
      <c r="ET12" s="259"/>
      <c r="EU12" s="259"/>
      <c r="EV12" s="259"/>
      <c r="EW12" s="259"/>
      <c r="EX12" s="259"/>
      <c r="EY12" s="259"/>
      <c r="EZ12" s="259"/>
      <c r="FA12" s="259"/>
      <c r="FB12" s="259"/>
      <c r="FC12" s="259"/>
      <c r="FD12" s="259"/>
      <c r="FE12" s="259"/>
      <c r="FF12" s="259"/>
      <c r="FG12" s="259"/>
      <c r="FH12" s="259"/>
      <c r="FI12" s="259"/>
      <c r="FJ12" s="259"/>
      <c r="FK12" s="259"/>
      <c r="FL12" s="259"/>
      <c r="FM12" s="259"/>
      <c r="FN12" s="259"/>
      <c r="FO12" s="259"/>
      <c r="FP12" s="259"/>
      <c r="FQ12" s="259"/>
      <c r="FR12" s="259"/>
      <c r="FS12" s="259"/>
      <c r="FT12" s="259"/>
      <c r="FU12" s="259"/>
      <c r="FV12" s="259"/>
      <c r="FW12" s="259"/>
      <c r="FX12" s="259"/>
      <c r="FY12" s="259"/>
      <c r="FZ12" s="259"/>
      <c r="GA12" s="259"/>
      <c r="GB12" s="259"/>
      <c r="GC12" s="259"/>
      <c r="GD12" s="259"/>
      <c r="GE12" s="259"/>
      <c r="GF12" s="259"/>
      <c r="GG12" s="259"/>
      <c r="GH12" s="259"/>
      <c r="GI12" s="259"/>
      <c r="GJ12" s="259"/>
      <c r="GK12" s="259"/>
      <c r="GL12" s="259"/>
      <c r="GM12" s="259"/>
      <c r="GN12" s="259"/>
      <c r="GO12" s="259"/>
      <c r="GP12" s="259"/>
      <c r="GQ12" s="259"/>
      <c r="GR12" s="259"/>
      <c r="GS12" s="259"/>
      <c r="GT12" s="259"/>
      <c r="GU12" s="259"/>
      <c r="GV12" s="259"/>
      <c r="GW12" s="259"/>
      <c r="GX12" s="259"/>
      <c r="GY12" s="259"/>
      <c r="GZ12" s="259"/>
      <c r="HA12" s="259"/>
      <c r="HB12" s="259"/>
      <c r="HC12" s="259"/>
      <c r="HD12" s="259"/>
      <c r="HE12" s="259"/>
      <c r="HF12" s="259"/>
      <c r="HG12" s="259"/>
      <c r="HH12" s="259"/>
      <c r="HI12" s="259"/>
      <c r="HJ12" s="259"/>
      <c r="HK12" s="259"/>
      <c r="HL12" s="259"/>
      <c r="HM12" s="259"/>
      <c r="HN12" s="259"/>
      <c r="HO12" s="259"/>
      <c r="HP12" s="259"/>
      <c r="HQ12" s="259"/>
      <c r="HR12" s="259"/>
      <c r="HS12" s="259"/>
      <c r="HT12" s="259"/>
      <c r="HU12" s="259"/>
      <c r="HV12" s="259"/>
      <c r="HW12" s="259"/>
      <c r="HX12" s="259"/>
      <c r="HY12" s="259"/>
      <c r="HZ12" s="259"/>
      <c r="IA12" s="259"/>
      <c r="IB12" s="259"/>
      <c r="IC12" s="259"/>
      <c r="ID12" s="259"/>
      <c r="IE12" s="259"/>
      <c r="IF12" s="259"/>
      <c r="IG12" s="259"/>
      <c r="IH12" s="259"/>
      <c r="II12" s="259"/>
      <c r="IJ12" s="259"/>
      <c r="IK12" s="259"/>
      <c r="IL12" s="259"/>
      <c r="IM12" s="259"/>
      <c r="IN12" s="259"/>
      <c r="IO12" s="259"/>
      <c r="IP12" s="259"/>
      <c r="IQ12" s="259"/>
      <c r="IR12" s="259"/>
      <c r="IS12" s="259"/>
      <c r="IT12" s="259"/>
      <c r="IU12" s="259"/>
      <c r="IV12" s="259"/>
    </row>
    <row r="13" spans="1:256" s="260" customFormat="1">
      <c r="A13" s="253">
        <v>5</v>
      </c>
      <c r="B13" s="263" t="s">
        <v>378</v>
      </c>
      <c r="C13" s="227">
        <v>1</v>
      </c>
      <c r="D13" s="226">
        <f>[1]report_ไตรมาส!P76</f>
        <v>354400</v>
      </c>
      <c r="E13" s="226">
        <f>[1]report_ไตรมาส!Q76</f>
        <v>127200</v>
      </c>
      <c r="F13" s="226">
        <f>[1]report_ไตรมาส!R76</f>
        <v>133160</v>
      </c>
      <c r="G13" s="226">
        <v>0</v>
      </c>
      <c r="H13" s="226">
        <v>0</v>
      </c>
      <c r="I13" s="226">
        <f t="shared" si="0"/>
        <v>73.465011286681715</v>
      </c>
      <c r="J13" s="266">
        <v>1</v>
      </c>
      <c r="K13" s="266">
        <v>0</v>
      </c>
      <c r="L13" s="262">
        <v>0</v>
      </c>
      <c r="M13" s="262">
        <v>1</v>
      </c>
      <c r="N13" s="262">
        <v>0</v>
      </c>
      <c r="O13" s="262" t="s">
        <v>371</v>
      </c>
      <c r="P13" s="216"/>
      <c r="Q13" s="215" t="s">
        <v>18</v>
      </c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  <c r="BT13" s="259"/>
      <c r="BU13" s="259"/>
      <c r="BV13" s="259"/>
      <c r="BW13" s="259"/>
      <c r="BX13" s="259"/>
      <c r="BY13" s="259"/>
      <c r="BZ13" s="259"/>
      <c r="CA13" s="259"/>
      <c r="CB13" s="259"/>
      <c r="CC13" s="259"/>
      <c r="CD13" s="259"/>
      <c r="CE13" s="259"/>
      <c r="CF13" s="259"/>
      <c r="CG13" s="259"/>
      <c r="CH13" s="259"/>
      <c r="CI13" s="259"/>
      <c r="CJ13" s="259"/>
      <c r="CK13" s="259"/>
      <c r="CL13" s="259"/>
      <c r="CM13" s="259"/>
      <c r="CN13" s="259"/>
      <c r="CO13" s="259"/>
      <c r="CP13" s="259"/>
      <c r="CQ13" s="259"/>
      <c r="CR13" s="259"/>
      <c r="CS13" s="259"/>
      <c r="CT13" s="259"/>
      <c r="CU13" s="259"/>
      <c r="CV13" s="259"/>
      <c r="CW13" s="259"/>
      <c r="CX13" s="259"/>
      <c r="CY13" s="259"/>
      <c r="CZ13" s="259"/>
      <c r="DA13" s="259"/>
      <c r="DB13" s="259"/>
      <c r="DC13" s="259"/>
      <c r="DD13" s="259"/>
      <c r="DE13" s="259"/>
      <c r="DF13" s="259"/>
      <c r="DG13" s="259"/>
      <c r="DH13" s="259"/>
      <c r="DI13" s="259"/>
      <c r="DJ13" s="259"/>
      <c r="DK13" s="259"/>
      <c r="DL13" s="259"/>
      <c r="DM13" s="259"/>
      <c r="DN13" s="259"/>
      <c r="DO13" s="259"/>
      <c r="DP13" s="259"/>
      <c r="DQ13" s="259"/>
      <c r="DR13" s="259"/>
      <c r="DS13" s="259"/>
      <c r="DT13" s="259"/>
      <c r="DU13" s="259"/>
      <c r="DV13" s="259"/>
      <c r="DW13" s="259"/>
      <c r="DX13" s="259"/>
      <c r="DY13" s="259"/>
      <c r="DZ13" s="259"/>
      <c r="EA13" s="259"/>
      <c r="EB13" s="259"/>
      <c r="EC13" s="259"/>
      <c r="ED13" s="259"/>
      <c r="EE13" s="259"/>
      <c r="EF13" s="259"/>
      <c r="EG13" s="259"/>
      <c r="EH13" s="259"/>
      <c r="EI13" s="259"/>
      <c r="EJ13" s="259"/>
      <c r="EK13" s="259"/>
      <c r="EL13" s="259"/>
      <c r="EM13" s="259"/>
      <c r="EN13" s="259"/>
      <c r="EO13" s="259"/>
      <c r="EP13" s="259"/>
      <c r="EQ13" s="259"/>
      <c r="ER13" s="259"/>
      <c r="ES13" s="259"/>
      <c r="ET13" s="259"/>
      <c r="EU13" s="259"/>
      <c r="EV13" s="259"/>
      <c r="EW13" s="259"/>
      <c r="EX13" s="259"/>
      <c r="EY13" s="259"/>
      <c r="EZ13" s="259"/>
      <c r="FA13" s="259"/>
      <c r="FB13" s="259"/>
      <c r="FC13" s="259"/>
      <c r="FD13" s="259"/>
      <c r="FE13" s="259"/>
      <c r="FF13" s="259"/>
      <c r="FG13" s="259"/>
      <c r="FH13" s="259"/>
      <c r="FI13" s="259"/>
      <c r="FJ13" s="259"/>
      <c r="FK13" s="259"/>
      <c r="FL13" s="259"/>
      <c r="FM13" s="259"/>
      <c r="FN13" s="259"/>
      <c r="FO13" s="259"/>
      <c r="FP13" s="259"/>
      <c r="FQ13" s="259"/>
      <c r="FR13" s="259"/>
      <c r="FS13" s="259"/>
      <c r="FT13" s="259"/>
      <c r="FU13" s="259"/>
      <c r="FV13" s="259"/>
      <c r="FW13" s="259"/>
      <c r="FX13" s="259"/>
      <c r="FY13" s="259"/>
      <c r="FZ13" s="259"/>
      <c r="GA13" s="259"/>
      <c r="GB13" s="259"/>
      <c r="GC13" s="259"/>
      <c r="GD13" s="259"/>
      <c r="GE13" s="259"/>
      <c r="GF13" s="259"/>
      <c r="GG13" s="259"/>
      <c r="GH13" s="259"/>
      <c r="GI13" s="259"/>
      <c r="GJ13" s="259"/>
      <c r="GK13" s="259"/>
      <c r="GL13" s="259"/>
      <c r="GM13" s="259"/>
      <c r="GN13" s="259"/>
      <c r="GO13" s="259"/>
      <c r="GP13" s="259"/>
      <c r="GQ13" s="259"/>
      <c r="GR13" s="259"/>
      <c r="GS13" s="259"/>
      <c r="GT13" s="259"/>
      <c r="GU13" s="259"/>
      <c r="GV13" s="259"/>
      <c r="GW13" s="259"/>
      <c r="GX13" s="259"/>
      <c r="GY13" s="259"/>
      <c r="GZ13" s="259"/>
      <c r="HA13" s="259"/>
      <c r="HB13" s="259"/>
      <c r="HC13" s="259"/>
      <c r="HD13" s="259"/>
      <c r="HE13" s="259"/>
      <c r="HF13" s="259"/>
      <c r="HG13" s="259"/>
      <c r="HH13" s="259"/>
      <c r="HI13" s="259"/>
      <c r="HJ13" s="259"/>
      <c r="HK13" s="259"/>
      <c r="HL13" s="259"/>
      <c r="HM13" s="259"/>
      <c r="HN13" s="259"/>
      <c r="HO13" s="259"/>
      <c r="HP13" s="259"/>
      <c r="HQ13" s="259"/>
      <c r="HR13" s="259"/>
      <c r="HS13" s="259"/>
      <c r="HT13" s="259"/>
      <c r="HU13" s="259"/>
      <c r="HV13" s="259"/>
      <c r="HW13" s="259"/>
      <c r="HX13" s="259"/>
      <c r="HY13" s="259"/>
      <c r="HZ13" s="259"/>
      <c r="IA13" s="259"/>
      <c r="IB13" s="259"/>
      <c r="IC13" s="259"/>
      <c r="ID13" s="259"/>
      <c r="IE13" s="259"/>
      <c r="IF13" s="259"/>
      <c r="IG13" s="259"/>
      <c r="IH13" s="259"/>
      <c r="II13" s="259"/>
      <c r="IJ13" s="259"/>
      <c r="IK13" s="259"/>
      <c r="IL13" s="259"/>
      <c r="IM13" s="259"/>
      <c r="IN13" s="259"/>
      <c r="IO13" s="259"/>
      <c r="IP13" s="259"/>
      <c r="IQ13" s="259"/>
      <c r="IR13" s="259"/>
      <c r="IS13" s="259"/>
      <c r="IT13" s="259"/>
      <c r="IU13" s="259"/>
      <c r="IV13" s="259"/>
    </row>
    <row r="14" spans="1:256" s="260" customFormat="1">
      <c r="A14" s="253">
        <v>6</v>
      </c>
      <c r="B14" s="267" t="s">
        <v>379</v>
      </c>
      <c r="C14" s="227">
        <v>2</v>
      </c>
      <c r="D14" s="226">
        <f>[1]report_ไตรมาส!P77</f>
        <v>3703000</v>
      </c>
      <c r="E14" s="214">
        <f>[1]report_ไตรมาส!Q77</f>
        <v>72820.320000000007</v>
      </c>
      <c r="F14" s="214">
        <f>[1]report_ไตรมาส!R77</f>
        <v>84767.48</v>
      </c>
      <c r="G14" s="226">
        <v>0</v>
      </c>
      <c r="H14" s="226">
        <v>0</v>
      </c>
      <c r="I14" s="214">
        <f t="shared" si="0"/>
        <v>4.2556791790440185</v>
      </c>
      <c r="J14" s="262">
        <v>0</v>
      </c>
      <c r="K14" s="262">
        <v>2</v>
      </c>
      <c r="L14" s="262" t="s">
        <v>371</v>
      </c>
      <c r="M14" s="262">
        <v>0</v>
      </c>
      <c r="N14" s="262">
        <v>0</v>
      </c>
      <c r="O14" s="262" t="s">
        <v>371</v>
      </c>
      <c r="P14" s="214"/>
      <c r="Q14" s="215" t="s">
        <v>18</v>
      </c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59"/>
      <c r="BD14" s="259"/>
      <c r="BE14" s="259"/>
      <c r="BF14" s="259"/>
      <c r="BG14" s="259"/>
      <c r="BH14" s="259"/>
      <c r="BI14" s="259"/>
      <c r="BJ14" s="259"/>
      <c r="BK14" s="259"/>
      <c r="BL14" s="259"/>
      <c r="BM14" s="259"/>
      <c r="BN14" s="259"/>
      <c r="BO14" s="259"/>
      <c r="BP14" s="259"/>
      <c r="BQ14" s="259"/>
      <c r="BR14" s="259"/>
      <c r="BS14" s="259"/>
      <c r="BT14" s="259"/>
      <c r="BU14" s="259"/>
      <c r="BV14" s="259"/>
      <c r="BW14" s="259"/>
      <c r="BX14" s="259"/>
      <c r="BY14" s="259"/>
      <c r="BZ14" s="259"/>
      <c r="CA14" s="259"/>
      <c r="CB14" s="259"/>
      <c r="CC14" s="259"/>
      <c r="CD14" s="259"/>
      <c r="CE14" s="259"/>
      <c r="CF14" s="259"/>
      <c r="CG14" s="259"/>
      <c r="CH14" s="259"/>
      <c r="CI14" s="259"/>
      <c r="CJ14" s="259"/>
      <c r="CK14" s="259"/>
      <c r="CL14" s="259"/>
      <c r="CM14" s="259"/>
      <c r="CN14" s="259"/>
      <c r="CO14" s="259"/>
      <c r="CP14" s="259"/>
      <c r="CQ14" s="259"/>
      <c r="CR14" s="259"/>
      <c r="CS14" s="259"/>
      <c r="CT14" s="259"/>
      <c r="CU14" s="259"/>
      <c r="CV14" s="259"/>
      <c r="CW14" s="259"/>
      <c r="CX14" s="259"/>
      <c r="CY14" s="259"/>
      <c r="CZ14" s="259"/>
      <c r="DA14" s="259"/>
      <c r="DB14" s="259"/>
      <c r="DC14" s="259"/>
      <c r="DD14" s="259"/>
      <c r="DE14" s="259"/>
      <c r="DF14" s="259"/>
      <c r="DG14" s="259"/>
      <c r="DH14" s="259"/>
      <c r="DI14" s="259"/>
      <c r="DJ14" s="259"/>
      <c r="DK14" s="259"/>
      <c r="DL14" s="259"/>
      <c r="DM14" s="259"/>
      <c r="DN14" s="259"/>
      <c r="DO14" s="259"/>
      <c r="DP14" s="259"/>
      <c r="DQ14" s="259"/>
      <c r="DR14" s="259"/>
      <c r="DS14" s="259"/>
      <c r="DT14" s="259"/>
      <c r="DU14" s="259"/>
      <c r="DV14" s="259"/>
      <c r="DW14" s="259"/>
      <c r="DX14" s="259"/>
      <c r="DY14" s="259"/>
      <c r="DZ14" s="259"/>
      <c r="EA14" s="259"/>
      <c r="EB14" s="259"/>
      <c r="EC14" s="259"/>
      <c r="ED14" s="259"/>
      <c r="EE14" s="259"/>
      <c r="EF14" s="259"/>
      <c r="EG14" s="259"/>
      <c r="EH14" s="259"/>
      <c r="EI14" s="259"/>
      <c r="EJ14" s="259"/>
      <c r="EK14" s="259"/>
      <c r="EL14" s="259"/>
      <c r="EM14" s="259"/>
      <c r="EN14" s="259"/>
      <c r="EO14" s="259"/>
      <c r="EP14" s="259"/>
      <c r="EQ14" s="259"/>
      <c r="ER14" s="259"/>
      <c r="ES14" s="259"/>
      <c r="ET14" s="259"/>
      <c r="EU14" s="259"/>
      <c r="EV14" s="259"/>
      <c r="EW14" s="259"/>
      <c r="EX14" s="259"/>
      <c r="EY14" s="259"/>
      <c r="EZ14" s="259"/>
      <c r="FA14" s="259"/>
      <c r="FB14" s="259"/>
      <c r="FC14" s="259"/>
      <c r="FD14" s="259"/>
      <c r="FE14" s="259"/>
      <c r="FF14" s="259"/>
      <c r="FG14" s="259"/>
      <c r="FH14" s="259"/>
      <c r="FI14" s="259"/>
      <c r="FJ14" s="259"/>
      <c r="FK14" s="259"/>
      <c r="FL14" s="259"/>
      <c r="FM14" s="259"/>
      <c r="FN14" s="259"/>
      <c r="FO14" s="259"/>
      <c r="FP14" s="259"/>
      <c r="FQ14" s="259"/>
      <c r="FR14" s="259"/>
      <c r="FS14" s="259"/>
      <c r="FT14" s="259"/>
      <c r="FU14" s="259"/>
      <c r="FV14" s="259"/>
      <c r="FW14" s="259"/>
      <c r="FX14" s="259"/>
      <c r="FY14" s="259"/>
      <c r="FZ14" s="259"/>
      <c r="GA14" s="259"/>
      <c r="GB14" s="259"/>
      <c r="GC14" s="259"/>
      <c r="GD14" s="259"/>
      <c r="GE14" s="259"/>
      <c r="GF14" s="259"/>
      <c r="GG14" s="259"/>
      <c r="GH14" s="259"/>
      <c r="GI14" s="259"/>
      <c r="GJ14" s="259"/>
      <c r="GK14" s="259"/>
      <c r="GL14" s="259"/>
      <c r="GM14" s="259"/>
      <c r="GN14" s="259"/>
      <c r="GO14" s="259"/>
      <c r="GP14" s="259"/>
      <c r="GQ14" s="259"/>
      <c r="GR14" s="259"/>
      <c r="GS14" s="259"/>
      <c r="GT14" s="259"/>
      <c r="GU14" s="259"/>
      <c r="GV14" s="259"/>
      <c r="GW14" s="259"/>
      <c r="GX14" s="259"/>
      <c r="GY14" s="259"/>
      <c r="GZ14" s="259"/>
      <c r="HA14" s="259"/>
      <c r="HB14" s="259"/>
      <c r="HC14" s="259"/>
      <c r="HD14" s="259"/>
      <c r="HE14" s="259"/>
      <c r="HF14" s="259"/>
      <c r="HG14" s="259"/>
      <c r="HH14" s="259"/>
      <c r="HI14" s="259"/>
      <c r="HJ14" s="259"/>
      <c r="HK14" s="259"/>
      <c r="HL14" s="259"/>
      <c r="HM14" s="259"/>
      <c r="HN14" s="259"/>
      <c r="HO14" s="259"/>
      <c r="HP14" s="259"/>
      <c r="HQ14" s="259"/>
      <c r="HR14" s="259"/>
      <c r="HS14" s="259"/>
      <c r="HT14" s="259"/>
      <c r="HU14" s="259"/>
      <c r="HV14" s="259"/>
      <c r="HW14" s="259"/>
      <c r="HX14" s="259"/>
      <c r="HY14" s="259"/>
      <c r="HZ14" s="259"/>
      <c r="IA14" s="259"/>
      <c r="IB14" s="259"/>
      <c r="IC14" s="259"/>
      <c r="ID14" s="259"/>
      <c r="IE14" s="259"/>
      <c r="IF14" s="259"/>
      <c r="IG14" s="259"/>
      <c r="IH14" s="259"/>
      <c r="II14" s="259"/>
      <c r="IJ14" s="259"/>
      <c r="IK14" s="259"/>
      <c r="IL14" s="259"/>
      <c r="IM14" s="259"/>
      <c r="IN14" s="259"/>
      <c r="IO14" s="259"/>
      <c r="IP14" s="259"/>
      <c r="IQ14" s="259"/>
      <c r="IR14" s="259"/>
      <c r="IS14" s="259"/>
      <c r="IT14" s="259"/>
      <c r="IU14" s="259"/>
      <c r="IV14" s="259"/>
    </row>
    <row r="15" spans="1:256" s="268" customFormat="1">
      <c r="A15" s="253">
        <v>7</v>
      </c>
      <c r="B15" s="261" t="s">
        <v>380</v>
      </c>
      <c r="C15" s="227" t="s">
        <v>18</v>
      </c>
      <c r="D15" s="226">
        <f>D16+D17</f>
        <v>5455500</v>
      </c>
      <c r="E15" s="226">
        <f>E16+E17</f>
        <v>377195.23</v>
      </c>
      <c r="F15" s="226">
        <f>F16+F17</f>
        <v>1293270.08</v>
      </c>
      <c r="G15" s="226">
        <v>0</v>
      </c>
      <c r="H15" s="226">
        <v>0</v>
      </c>
      <c r="I15" s="226">
        <f t="shared" si="0"/>
        <v>30.619838878196315</v>
      </c>
      <c r="J15" s="266"/>
      <c r="K15" s="266"/>
      <c r="L15" s="262" t="s">
        <v>18</v>
      </c>
      <c r="M15" s="262" t="s">
        <v>18</v>
      </c>
      <c r="N15" s="262" t="s">
        <v>18</v>
      </c>
      <c r="O15" s="262" t="s">
        <v>18</v>
      </c>
      <c r="P15" s="214"/>
      <c r="Q15" s="215" t="s">
        <v>18</v>
      </c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59"/>
      <c r="BE15" s="259"/>
      <c r="BF15" s="259"/>
      <c r="BG15" s="259"/>
      <c r="BH15" s="259"/>
      <c r="BI15" s="259"/>
      <c r="BJ15" s="259"/>
      <c r="BK15" s="259"/>
      <c r="BL15" s="259"/>
      <c r="BM15" s="259"/>
      <c r="BN15" s="259"/>
      <c r="BO15" s="259"/>
      <c r="BP15" s="259"/>
      <c r="BQ15" s="259"/>
      <c r="BR15" s="259"/>
      <c r="BS15" s="259"/>
      <c r="BT15" s="259"/>
      <c r="BU15" s="259"/>
      <c r="BV15" s="259"/>
      <c r="BW15" s="259"/>
      <c r="BX15" s="259"/>
      <c r="BY15" s="259"/>
      <c r="BZ15" s="259"/>
      <c r="CA15" s="259"/>
      <c r="CB15" s="259"/>
      <c r="CC15" s="259"/>
      <c r="CD15" s="259"/>
      <c r="CE15" s="259"/>
      <c r="CF15" s="259"/>
      <c r="CG15" s="259"/>
      <c r="CH15" s="259"/>
      <c r="CI15" s="259"/>
      <c r="CJ15" s="259"/>
      <c r="CK15" s="259"/>
      <c r="CL15" s="259"/>
      <c r="CM15" s="259"/>
      <c r="CN15" s="259"/>
      <c r="CO15" s="259"/>
      <c r="CP15" s="259"/>
      <c r="CQ15" s="259"/>
      <c r="CR15" s="259"/>
      <c r="CS15" s="259"/>
      <c r="CT15" s="259"/>
      <c r="CU15" s="259"/>
      <c r="CV15" s="259"/>
      <c r="CW15" s="259"/>
      <c r="CX15" s="259"/>
      <c r="CY15" s="259"/>
      <c r="CZ15" s="259"/>
      <c r="DA15" s="259"/>
      <c r="DB15" s="259"/>
      <c r="DC15" s="259"/>
      <c r="DD15" s="259"/>
      <c r="DE15" s="259"/>
      <c r="DF15" s="259"/>
      <c r="DG15" s="259"/>
      <c r="DH15" s="259"/>
      <c r="DI15" s="259"/>
      <c r="DJ15" s="259"/>
      <c r="DK15" s="259"/>
      <c r="DL15" s="259"/>
      <c r="DM15" s="259"/>
      <c r="DN15" s="259"/>
      <c r="DO15" s="259"/>
      <c r="DP15" s="259"/>
      <c r="DQ15" s="259"/>
      <c r="DR15" s="259"/>
      <c r="DS15" s="259"/>
      <c r="DT15" s="259"/>
      <c r="DU15" s="259"/>
      <c r="DV15" s="259"/>
      <c r="DW15" s="259"/>
      <c r="DX15" s="259"/>
      <c r="DY15" s="259"/>
      <c r="DZ15" s="259"/>
      <c r="EA15" s="259"/>
      <c r="EB15" s="259"/>
      <c r="EC15" s="259"/>
      <c r="ED15" s="259"/>
      <c r="EE15" s="259"/>
      <c r="EF15" s="259"/>
      <c r="EG15" s="259"/>
      <c r="EH15" s="259"/>
      <c r="EI15" s="259"/>
      <c r="EJ15" s="259"/>
      <c r="EK15" s="259"/>
      <c r="EL15" s="259"/>
      <c r="EM15" s="259"/>
      <c r="EN15" s="259"/>
      <c r="EO15" s="259"/>
      <c r="EP15" s="259"/>
      <c r="EQ15" s="259"/>
      <c r="ER15" s="259"/>
      <c r="ES15" s="259"/>
      <c r="ET15" s="259"/>
      <c r="EU15" s="259"/>
      <c r="EV15" s="259"/>
      <c r="EW15" s="259"/>
      <c r="EX15" s="259"/>
      <c r="EY15" s="259"/>
      <c r="EZ15" s="259"/>
      <c r="FA15" s="259"/>
      <c r="FB15" s="259"/>
      <c r="FC15" s="259"/>
      <c r="FD15" s="259"/>
      <c r="FE15" s="259"/>
      <c r="FF15" s="259"/>
      <c r="FG15" s="259"/>
      <c r="FH15" s="259"/>
      <c r="FI15" s="259"/>
      <c r="FJ15" s="259"/>
      <c r="FK15" s="259"/>
      <c r="FL15" s="259"/>
      <c r="FM15" s="259"/>
      <c r="FN15" s="259"/>
      <c r="FO15" s="259"/>
      <c r="FP15" s="259"/>
      <c r="FQ15" s="259"/>
      <c r="FR15" s="259"/>
      <c r="FS15" s="259"/>
      <c r="FT15" s="259"/>
      <c r="FU15" s="259"/>
      <c r="FV15" s="259"/>
      <c r="FW15" s="259"/>
      <c r="FX15" s="259"/>
      <c r="FY15" s="259"/>
      <c r="FZ15" s="259"/>
      <c r="GA15" s="259"/>
      <c r="GB15" s="259"/>
      <c r="GC15" s="259"/>
      <c r="GD15" s="259"/>
      <c r="GE15" s="259"/>
      <c r="GF15" s="259"/>
      <c r="GG15" s="259"/>
      <c r="GH15" s="259"/>
      <c r="GI15" s="259"/>
      <c r="GJ15" s="259"/>
      <c r="GK15" s="259"/>
      <c r="GL15" s="259"/>
      <c r="GM15" s="259"/>
      <c r="GN15" s="259"/>
      <c r="GO15" s="259"/>
      <c r="GP15" s="259"/>
      <c r="GQ15" s="259"/>
      <c r="GR15" s="259"/>
      <c r="GS15" s="259"/>
      <c r="GT15" s="259"/>
      <c r="GU15" s="259"/>
      <c r="GV15" s="259"/>
      <c r="GW15" s="259"/>
      <c r="GX15" s="259"/>
      <c r="GY15" s="259"/>
      <c r="GZ15" s="259"/>
      <c r="HA15" s="259"/>
      <c r="HB15" s="259"/>
      <c r="HC15" s="259"/>
      <c r="HD15" s="259"/>
      <c r="HE15" s="259"/>
      <c r="HF15" s="259"/>
      <c r="HG15" s="259"/>
      <c r="HH15" s="259"/>
      <c r="HI15" s="259"/>
      <c r="HJ15" s="259"/>
      <c r="HK15" s="259"/>
      <c r="HL15" s="259"/>
      <c r="HM15" s="259"/>
      <c r="HN15" s="259"/>
      <c r="HO15" s="259"/>
      <c r="HP15" s="259"/>
      <c r="HQ15" s="259"/>
      <c r="HR15" s="259"/>
      <c r="HS15" s="259"/>
      <c r="HT15" s="259"/>
      <c r="HU15" s="259"/>
      <c r="HV15" s="259"/>
      <c r="HW15" s="259"/>
      <c r="HX15" s="259"/>
      <c r="HY15" s="259"/>
      <c r="HZ15" s="259"/>
      <c r="IA15" s="259"/>
      <c r="IB15" s="259"/>
      <c r="IC15" s="259"/>
      <c r="ID15" s="259"/>
      <c r="IE15" s="259"/>
      <c r="IF15" s="259"/>
      <c r="IG15" s="259"/>
      <c r="IH15" s="259"/>
      <c r="II15" s="259"/>
      <c r="IJ15" s="259"/>
      <c r="IK15" s="259"/>
      <c r="IL15" s="259"/>
      <c r="IM15" s="259"/>
      <c r="IN15" s="259"/>
      <c r="IO15" s="259"/>
      <c r="IP15" s="259"/>
      <c r="IQ15" s="259"/>
      <c r="IR15" s="259"/>
      <c r="IS15" s="259"/>
      <c r="IT15" s="259"/>
      <c r="IU15" s="259"/>
      <c r="IV15" s="259"/>
    </row>
    <row r="16" spans="1:256" s="268" customFormat="1">
      <c r="A16" s="253"/>
      <c r="B16" s="269" t="s">
        <v>381</v>
      </c>
      <c r="C16" s="270">
        <v>1</v>
      </c>
      <c r="D16" s="219">
        <f>[1]report_ไตรมาส!P93</f>
        <v>2380000</v>
      </c>
      <c r="E16" s="219">
        <f>[1]report_ไตรมาส!Q93</f>
        <v>362645.23</v>
      </c>
      <c r="F16" s="219">
        <f>[1]report_ไตรมาส!R93</f>
        <v>451062.07999999996</v>
      </c>
      <c r="G16" s="226">
        <v>0</v>
      </c>
      <c r="H16" s="226">
        <v>0</v>
      </c>
      <c r="I16" s="226">
        <f t="shared" si="0"/>
        <v>34.189382773109237</v>
      </c>
      <c r="J16" s="271">
        <v>1</v>
      </c>
      <c r="K16" s="271">
        <v>0</v>
      </c>
      <c r="L16" s="272">
        <v>0</v>
      </c>
      <c r="M16" s="272">
        <v>1</v>
      </c>
      <c r="N16" s="272">
        <v>0</v>
      </c>
      <c r="O16" s="272">
        <v>0</v>
      </c>
      <c r="P16" s="217"/>
      <c r="Q16" s="215" t="s">
        <v>18</v>
      </c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59"/>
      <c r="AT16" s="259"/>
      <c r="AU16" s="259"/>
      <c r="AV16" s="259"/>
      <c r="AW16" s="259"/>
      <c r="AX16" s="259"/>
      <c r="AY16" s="259"/>
      <c r="AZ16" s="259"/>
      <c r="BA16" s="259"/>
      <c r="BB16" s="259"/>
      <c r="BC16" s="259"/>
      <c r="BD16" s="259"/>
      <c r="BE16" s="259"/>
      <c r="BF16" s="259"/>
      <c r="BG16" s="259"/>
      <c r="BH16" s="259"/>
      <c r="BI16" s="259"/>
      <c r="BJ16" s="259"/>
      <c r="BK16" s="259"/>
      <c r="BL16" s="259"/>
      <c r="BM16" s="259"/>
      <c r="BN16" s="259"/>
      <c r="BO16" s="259"/>
      <c r="BP16" s="259"/>
      <c r="BQ16" s="259"/>
      <c r="BR16" s="259"/>
      <c r="BS16" s="259"/>
      <c r="BT16" s="259"/>
      <c r="BU16" s="259"/>
      <c r="BV16" s="259"/>
      <c r="BW16" s="259"/>
      <c r="BX16" s="259"/>
      <c r="BY16" s="259"/>
      <c r="BZ16" s="259"/>
      <c r="CA16" s="259"/>
      <c r="CB16" s="259"/>
      <c r="CC16" s="259"/>
      <c r="CD16" s="259"/>
      <c r="CE16" s="259"/>
      <c r="CF16" s="259"/>
      <c r="CG16" s="259"/>
      <c r="CH16" s="259"/>
      <c r="CI16" s="259"/>
      <c r="CJ16" s="259"/>
      <c r="CK16" s="259"/>
      <c r="CL16" s="259"/>
      <c r="CM16" s="259"/>
      <c r="CN16" s="259"/>
      <c r="CO16" s="259"/>
      <c r="CP16" s="259"/>
      <c r="CQ16" s="259"/>
      <c r="CR16" s="259"/>
      <c r="CS16" s="259"/>
      <c r="CT16" s="259"/>
      <c r="CU16" s="259"/>
      <c r="CV16" s="259"/>
      <c r="CW16" s="259"/>
      <c r="CX16" s="259"/>
      <c r="CY16" s="259"/>
      <c r="CZ16" s="259"/>
      <c r="DA16" s="259"/>
      <c r="DB16" s="259"/>
      <c r="DC16" s="259"/>
      <c r="DD16" s="259"/>
      <c r="DE16" s="259"/>
      <c r="DF16" s="259"/>
      <c r="DG16" s="259"/>
      <c r="DH16" s="259"/>
      <c r="DI16" s="259"/>
      <c r="DJ16" s="259"/>
      <c r="DK16" s="259"/>
      <c r="DL16" s="259"/>
      <c r="DM16" s="259"/>
      <c r="DN16" s="259"/>
      <c r="DO16" s="259"/>
      <c r="DP16" s="259"/>
      <c r="DQ16" s="259"/>
      <c r="DR16" s="259"/>
      <c r="DS16" s="259"/>
      <c r="DT16" s="259"/>
      <c r="DU16" s="259"/>
      <c r="DV16" s="259"/>
      <c r="DW16" s="259"/>
      <c r="DX16" s="259"/>
      <c r="DY16" s="259"/>
      <c r="DZ16" s="259"/>
      <c r="EA16" s="259"/>
      <c r="EB16" s="259"/>
      <c r="EC16" s="259"/>
      <c r="ED16" s="259"/>
      <c r="EE16" s="259"/>
      <c r="EF16" s="259"/>
      <c r="EG16" s="259"/>
      <c r="EH16" s="259"/>
      <c r="EI16" s="259"/>
      <c r="EJ16" s="259"/>
      <c r="EK16" s="259"/>
      <c r="EL16" s="259"/>
      <c r="EM16" s="259"/>
      <c r="EN16" s="259"/>
      <c r="EO16" s="259"/>
      <c r="EP16" s="259"/>
      <c r="EQ16" s="259"/>
      <c r="ER16" s="259"/>
      <c r="ES16" s="259"/>
      <c r="ET16" s="259"/>
      <c r="EU16" s="259"/>
      <c r="EV16" s="259"/>
      <c r="EW16" s="259"/>
      <c r="EX16" s="259"/>
      <c r="EY16" s="259"/>
      <c r="EZ16" s="259"/>
      <c r="FA16" s="259"/>
      <c r="FB16" s="259"/>
      <c r="FC16" s="259"/>
      <c r="FD16" s="259"/>
      <c r="FE16" s="259"/>
      <c r="FF16" s="259"/>
      <c r="FG16" s="259"/>
      <c r="FH16" s="259"/>
      <c r="FI16" s="259"/>
      <c r="FJ16" s="259"/>
      <c r="FK16" s="259"/>
      <c r="FL16" s="259"/>
      <c r="FM16" s="259"/>
      <c r="FN16" s="259"/>
      <c r="FO16" s="259"/>
      <c r="FP16" s="259"/>
      <c r="FQ16" s="259"/>
      <c r="FR16" s="259"/>
      <c r="FS16" s="259"/>
      <c r="FT16" s="259"/>
      <c r="FU16" s="259"/>
      <c r="FV16" s="259"/>
      <c r="FW16" s="259"/>
      <c r="FX16" s="259"/>
      <c r="FY16" s="259"/>
      <c r="FZ16" s="259"/>
      <c r="GA16" s="259"/>
      <c r="GB16" s="259"/>
      <c r="GC16" s="259"/>
      <c r="GD16" s="259"/>
      <c r="GE16" s="259"/>
      <c r="GF16" s="259"/>
      <c r="GG16" s="259"/>
      <c r="GH16" s="259"/>
      <c r="GI16" s="259"/>
      <c r="GJ16" s="259"/>
      <c r="GK16" s="259"/>
      <c r="GL16" s="259"/>
      <c r="GM16" s="259"/>
      <c r="GN16" s="259"/>
      <c r="GO16" s="259"/>
      <c r="GP16" s="259"/>
      <c r="GQ16" s="259"/>
      <c r="GR16" s="259"/>
      <c r="GS16" s="259"/>
      <c r="GT16" s="259"/>
      <c r="GU16" s="259"/>
      <c r="GV16" s="259"/>
      <c r="GW16" s="259"/>
      <c r="GX16" s="259"/>
      <c r="GY16" s="259"/>
      <c r="GZ16" s="259"/>
      <c r="HA16" s="259"/>
      <c r="HB16" s="259"/>
      <c r="HC16" s="259"/>
      <c r="HD16" s="259"/>
      <c r="HE16" s="259"/>
      <c r="HF16" s="259"/>
      <c r="HG16" s="259"/>
      <c r="HH16" s="259"/>
      <c r="HI16" s="259"/>
      <c r="HJ16" s="259"/>
      <c r="HK16" s="259"/>
      <c r="HL16" s="259"/>
      <c r="HM16" s="259"/>
      <c r="HN16" s="259"/>
      <c r="HO16" s="259"/>
      <c r="HP16" s="259"/>
      <c r="HQ16" s="259"/>
      <c r="HR16" s="259"/>
      <c r="HS16" s="259"/>
      <c r="HT16" s="259"/>
      <c r="HU16" s="259"/>
      <c r="HV16" s="259"/>
      <c r="HW16" s="259"/>
      <c r="HX16" s="259"/>
      <c r="HY16" s="259"/>
      <c r="HZ16" s="259"/>
      <c r="IA16" s="259"/>
      <c r="IB16" s="259"/>
      <c r="IC16" s="259"/>
      <c r="ID16" s="259"/>
      <c r="IE16" s="259"/>
      <c r="IF16" s="259"/>
      <c r="IG16" s="259"/>
      <c r="IH16" s="259"/>
      <c r="II16" s="259"/>
      <c r="IJ16" s="259"/>
      <c r="IK16" s="259"/>
      <c r="IL16" s="259"/>
      <c r="IM16" s="259"/>
      <c r="IN16" s="259"/>
      <c r="IO16" s="259"/>
      <c r="IP16" s="259"/>
      <c r="IQ16" s="259"/>
      <c r="IR16" s="259"/>
      <c r="IS16" s="259"/>
      <c r="IT16" s="259"/>
      <c r="IU16" s="259"/>
      <c r="IV16" s="259"/>
    </row>
    <row r="17" spans="1:256" s="268" customFormat="1">
      <c r="A17" s="255"/>
      <c r="B17" s="269" t="s">
        <v>382</v>
      </c>
      <c r="C17" s="270">
        <v>49</v>
      </c>
      <c r="D17" s="219">
        <f>[1]report_ไตรมาส!P98</f>
        <v>3075500</v>
      </c>
      <c r="E17" s="219">
        <f>[1]report_ไตรมาส!Q98</f>
        <v>14550</v>
      </c>
      <c r="F17" s="219">
        <f>[1]report_ไตรมาส!R98</f>
        <v>842208</v>
      </c>
      <c r="G17" s="226">
        <v>0</v>
      </c>
      <c r="H17" s="226">
        <v>0</v>
      </c>
      <c r="I17" s="226">
        <f t="shared" si="0"/>
        <v>27.857519102584945</v>
      </c>
      <c r="J17" s="271">
        <v>43</v>
      </c>
      <c r="K17" s="271">
        <v>6</v>
      </c>
      <c r="L17" s="272">
        <v>9</v>
      </c>
      <c r="M17" s="272">
        <v>26</v>
      </c>
      <c r="N17" s="272">
        <v>5</v>
      </c>
      <c r="O17" s="272">
        <v>3</v>
      </c>
      <c r="P17" s="217"/>
      <c r="Q17" s="215" t="s">
        <v>383</v>
      </c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  <c r="BO17" s="259"/>
      <c r="BP17" s="259"/>
      <c r="BQ17" s="259"/>
      <c r="BR17" s="259"/>
      <c r="BS17" s="259"/>
      <c r="BT17" s="259"/>
      <c r="BU17" s="259"/>
      <c r="BV17" s="259"/>
      <c r="BW17" s="259"/>
      <c r="BX17" s="259"/>
      <c r="BY17" s="259"/>
      <c r="BZ17" s="259"/>
      <c r="CA17" s="259"/>
      <c r="CB17" s="259"/>
      <c r="CC17" s="259"/>
      <c r="CD17" s="259"/>
      <c r="CE17" s="259"/>
      <c r="CF17" s="259"/>
      <c r="CG17" s="259"/>
      <c r="CH17" s="259"/>
      <c r="CI17" s="259"/>
      <c r="CJ17" s="259"/>
      <c r="CK17" s="259"/>
      <c r="CL17" s="259"/>
      <c r="CM17" s="259"/>
      <c r="CN17" s="259"/>
      <c r="CO17" s="259"/>
      <c r="CP17" s="259"/>
      <c r="CQ17" s="259"/>
      <c r="CR17" s="259"/>
      <c r="CS17" s="259"/>
      <c r="CT17" s="259"/>
      <c r="CU17" s="259"/>
      <c r="CV17" s="259"/>
      <c r="CW17" s="259"/>
      <c r="CX17" s="259"/>
      <c r="CY17" s="259"/>
      <c r="CZ17" s="259"/>
      <c r="DA17" s="259"/>
      <c r="DB17" s="259"/>
      <c r="DC17" s="259"/>
      <c r="DD17" s="259"/>
      <c r="DE17" s="259"/>
      <c r="DF17" s="259"/>
      <c r="DG17" s="259"/>
      <c r="DH17" s="259"/>
      <c r="DI17" s="259"/>
      <c r="DJ17" s="259"/>
      <c r="DK17" s="259"/>
      <c r="DL17" s="259"/>
      <c r="DM17" s="259"/>
      <c r="DN17" s="259"/>
      <c r="DO17" s="259"/>
      <c r="DP17" s="259"/>
      <c r="DQ17" s="259"/>
      <c r="DR17" s="259"/>
      <c r="DS17" s="259"/>
      <c r="DT17" s="259"/>
      <c r="DU17" s="259"/>
      <c r="DV17" s="259"/>
      <c r="DW17" s="259"/>
      <c r="DX17" s="259"/>
      <c r="DY17" s="259"/>
      <c r="DZ17" s="259"/>
      <c r="EA17" s="259"/>
      <c r="EB17" s="259"/>
      <c r="EC17" s="259"/>
      <c r="ED17" s="259"/>
      <c r="EE17" s="259"/>
      <c r="EF17" s="259"/>
      <c r="EG17" s="259"/>
      <c r="EH17" s="259"/>
      <c r="EI17" s="259"/>
      <c r="EJ17" s="259"/>
      <c r="EK17" s="259"/>
      <c r="EL17" s="259"/>
      <c r="EM17" s="259"/>
      <c r="EN17" s="259"/>
      <c r="EO17" s="259"/>
      <c r="EP17" s="259"/>
      <c r="EQ17" s="259"/>
      <c r="ER17" s="259"/>
      <c r="ES17" s="259"/>
      <c r="ET17" s="259"/>
      <c r="EU17" s="259"/>
      <c r="EV17" s="259"/>
      <c r="EW17" s="259"/>
      <c r="EX17" s="259"/>
      <c r="EY17" s="259"/>
      <c r="EZ17" s="259"/>
      <c r="FA17" s="259"/>
      <c r="FB17" s="259"/>
      <c r="FC17" s="259"/>
      <c r="FD17" s="259"/>
      <c r="FE17" s="259"/>
      <c r="FF17" s="259"/>
      <c r="FG17" s="259"/>
      <c r="FH17" s="259"/>
      <c r="FI17" s="259"/>
      <c r="FJ17" s="259"/>
      <c r="FK17" s="259"/>
      <c r="FL17" s="259"/>
      <c r="FM17" s="259"/>
      <c r="FN17" s="259"/>
      <c r="FO17" s="259"/>
      <c r="FP17" s="259"/>
      <c r="FQ17" s="259"/>
      <c r="FR17" s="259"/>
      <c r="FS17" s="259"/>
      <c r="FT17" s="259"/>
      <c r="FU17" s="259"/>
      <c r="FV17" s="259"/>
      <c r="FW17" s="259"/>
      <c r="FX17" s="259"/>
      <c r="FY17" s="259"/>
      <c r="FZ17" s="259"/>
      <c r="GA17" s="259"/>
      <c r="GB17" s="259"/>
      <c r="GC17" s="259"/>
      <c r="GD17" s="259"/>
      <c r="GE17" s="259"/>
      <c r="GF17" s="259"/>
      <c r="GG17" s="259"/>
      <c r="GH17" s="259"/>
      <c r="GI17" s="259"/>
      <c r="GJ17" s="259"/>
      <c r="GK17" s="259"/>
      <c r="GL17" s="259"/>
      <c r="GM17" s="259"/>
      <c r="GN17" s="259"/>
      <c r="GO17" s="259"/>
      <c r="GP17" s="259"/>
      <c r="GQ17" s="259"/>
      <c r="GR17" s="259"/>
      <c r="GS17" s="259"/>
      <c r="GT17" s="259"/>
      <c r="GU17" s="259"/>
      <c r="GV17" s="259"/>
      <c r="GW17" s="259"/>
      <c r="GX17" s="259"/>
      <c r="GY17" s="259"/>
      <c r="GZ17" s="259"/>
      <c r="HA17" s="259"/>
      <c r="HB17" s="259"/>
      <c r="HC17" s="259"/>
      <c r="HD17" s="259"/>
      <c r="HE17" s="259"/>
      <c r="HF17" s="259"/>
      <c r="HG17" s="259"/>
      <c r="HH17" s="259"/>
      <c r="HI17" s="259"/>
      <c r="HJ17" s="259"/>
      <c r="HK17" s="259"/>
      <c r="HL17" s="259"/>
      <c r="HM17" s="259"/>
      <c r="HN17" s="259"/>
      <c r="HO17" s="259"/>
      <c r="HP17" s="259"/>
      <c r="HQ17" s="259"/>
      <c r="HR17" s="259"/>
      <c r="HS17" s="259"/>
      <c r="HT17" s="259"/>
      <c r="HU17" s="259"/>
      <c r="HV17" s="259"/>
      <c r="HW17" s="259"/>
      <c r="HX17" s="259"/>
      <c r="HY17" s="259"/>
      <c r="HZ17" s="259"/>
      <c r="IA17" s="259"/>
      <c r="IB17" s="259"/>
      <c r="IC17" s="259"/>
      <c r="ID17" s="259"/>
      <c r="IE17" s="259"/>
      <c r="IF17" s="259"/>
      <c r="IG17" s="259"/>
      <c r="IH17" s="259"/>
      <c r="II17" s="259"/>
      <c r="IJ17" s="259"/>
      <c r="IK17" s="259"/>
      <c r="IL17" s="259"/>
      <c r="IM17" s="259"/>
      <c r="IN17" s="259"/>
      <c r="IO17" s="259"/>
      <c r="IP17" s="259"/>
      <c r="IQ17" s="259"/>
      <c r="IR17" s="259"/>
      <c r="IS17" s="259"/>
      <c r="IT17" s="259"/>
      <c r="IU17" s="259"/>
      <c r="IV17" s="259"/>
    </row>
    <row r="18" spans="1:256" s="268" customFormat="1">
      <c r="A18" s="253">
        <v>8</v>
      </c>
      <c r="B18" s="261" t="s">
        <v>384</v>
      </c>
      <c r="C18" s="270">
        <v>14</v>
      </c>
      <c r="D18" s="219">
        <f>[1]report_ไตรมาส!P172</f>
        <v>6641900</v>
      </c>
      <c r="E18" s="219">
        <f>[1]report_ไตรมาส!Q172</f>
        <v>132752.6</v>
      </c>
      <c r="F18" s="219">
        <f>[1]report_ไตรมาส!R172</f>
        <v>394962.05</v>
      </c>
      <c r="G18" s="226">
        <v>0</v>
      </c>
      <c r="H18" s="226">
        <v>0</v>
      </c>
      <c r="I18" s="219">
        <f t="shared" si="0"/>
        <v>7.945236302865144</v>
      </c>
      <c r="J18" s="271">
        <v>13</v>
      </c>
      <c r="K18" s="271">
        <v>1</v>
      </c>
      <c r="L18" s="272">
        <v>1</v>
      </c>
      <c r="M18" s="272">
        <v>12</v>
      </c>
      <c r="N18" s="272">
        <v>0</v>
      </c>
      <c r="O18" s="272">
        <v>0</v>
      </c>
      <c r="P18" s="217">
        <f>SUM(D18:I18)</f>
        <v>7169622.5952363024</v>
      </c>
      <c r="Q18" s="218" t="s">
        <v>18</v>
      </c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59"/>
      <c r="BA18" s="259"/>
      <c r="BB18" s="259"/>
      <c r="BC18" s="259"/>
      <c r="BD18" s="259"/>
      <c r="BE18" s="259"/>
      <c r="BF18" s="259"/>
      <c r="BG18" s="259"/>
      <c r="BH18" s="259"/>
      <c r="BI18" s="259"/>
      <c r="BJ18" s="259"/>
      <c r="BK18" s="259"/>
      <c r="BL18" s="259"/>
      <c r="BM18" s="259"/>
      <c r="BN18" s="259"/>
      <c r="BO18" s="259"/>
      <c r="BP18" s="259"/>
      <c r="BQ18" s="259"/>
      <c r="BR18" s="259"/>
      <c r="BS18" s="259"/>
      <c r="BT18" s="259"/>
      <c r="BU18" s="259"/>
      <c r="BV18" s="259"/>
      <c r="BW18" s="259"/>
      <c r="BX18" s="259"/>
      <c r="BY18" s="259"/>
      <c r="BZ18" s="259"/>
      <c r="CA18" s="259"/>
      <c r="CB18" s="259"/>
      <c r="CC18" s="259"/>
      <c r="CD18" s="259"/>
      <c r="CE18" s="259"/>
      <c r="CF18" s="259"/>
      <c r="CG18" s="259"/>
      <c r="CH18" s="259"/>
      <c r="CI18" s="259"/>
      <c r="CJ18" s="259"/>
      <c r="CK18" s="259"/>
      <c r="CL18" s="259"/>
      <c r="CM18" s="259"/>
      <c r="CN18" s="259"/>
      <c r="CO18" s="259"/>
      <c r="CP18" s="259"/>
      <c r="CQ18" s="259"/>
      <c r="CR18" s="259"/>
      <c r="CS18" s="259"/>
      <c r="CT18" s="259"/>
      <c r="CU18" s="259"/>
      <c r="CV18" s="259"/>
      <c r="CW18" s="259"/>
      <c r="CX18" s="259"/>
      <c r="CY18" s="259"/>
      <c r="CZ18" s="259"/>
      <c r="DA18" s="259"/>
      <c r="DB18" s="259"/>
      <c r="DC18" s="259"/>
      <c r="DD18" s="259"/>
      <c r="DE18" s="259"/>
      <c r="DF18" s="259"/>
      <c r="DG18" s="259"/>
      <c r="DH18" s="259"/>
      <c r="DI18" s="259"/>
      <c r="DJ18" s="259"/>
      <c r="DK18" s="259"/>
      <c r="DL18" s="259"/>
      <c r="DM18" s="259"/>
      <c r="DN18" s="259"/>
      <c r="DO18" s="259"/>
      <c r="DP18" s="259"/>
      <c r="DQ18" s="259"/>
      <c r="DR18" s="259"/>
      <c r="DS18" s="259"/>
      <c r="DT18" s="259"/>
      <c r="DU18" s="259"/>
      <c r="DV18" s="259"/>
      <c r="DW18" s="259"/>
      <c r="DX18" s="259"/>
      <c r="DY18" s="259"/>
      <c r="DZ18" s="259"/>
      <c r="EA18" s="259"/>
      <c r="EB18" s="259"/>
      <c r="EC18" s="259"/>
      <c r="ED18" s="259"/>
      <c r="EE18" s="259"/>
      <c r="EF18" s="259"/>
      <c r="EG18" s="259"/>
      <c r="EH18" s="259"/>
      <c r="EI18" s="259"/>
      <c r="EJ18" s="259"/>
      <c r="EK18" s="259"/>
      <c r="EL18" s="259"/>
      <c r="EM18" s="259"/>
      <c r="EN18" s="259"/>
      <c r="EO18" s="259"/>
      <c r="EP18" s="259"/>
      <c r="EQ18" s="259"/>
      <c r="ER18" s="259"/>
      <c r="ES18" s="259"/>
      <c r="ET18" s="259"/>
      <c r="EU18" s="259"/>
      <c r="EV18" s="259"/>
      <c r="EW18" s="259"/>
      <c r="EX18" s="259"/>
      <c r="EY18" s="259"/>
      <c r="EZ18" s="259"/>
      <c r="FA18" s="259"/>
      <c r="FB18" s="259"/>
      <c r="FC18" s="259"/>
      <c r="FD18" s="259"/>
      <c r="FE18" s="259"/>
      <c r="FF18" s="259"/>
      <c r="FG18" s="259"/>
      <c r="FH18" s="259"/>
      <c r="FI18" s="259"/>
      <c r="FJ18" s="259"/>
      <c r="FK18" s="259"/>
      <c r="FL18" s="259"/>
      <c r="FM18" s="259"/>
      <c r="FN18" s="259"/>
      <c r="FO18" s="259"/>
      <c r="FP18" s="259"/>
      <c r="FQ18" s="259"/>
      <c r="FR18" s="259"/>
      <c r="FS18" s="259"/>
      <c r="FT18" s="259"/>
      <c r="FU18" s="259"/>
      <c r="FV18" s="259"/>
      <c r="FW18" s="259"/>
      <c r="FX18" s="259"/>
      <c r="FY18" s="259"/>
      <c r="FZ18" s="259"/>
      <c r="GA18" s="259"/>
      <c r="GB18" s="259"/>
      <c r="GC18" s="259"/>
      <c r="GD18" s="259"/>
      <c r="GE18" s="259"/>
      <c r="GF18" s="259"/>
      <c r="GG18" s="259"/>
      <c r="GH18" s="259"/>
      <c r="GI18" s="259"/>
      <c r="GJ18" s="259"/>
      <c r="GK18" s="259"/>
      <c r="GL18" s="259"/>
      <c r="GM18" s="259"/>
      <c r="GN18" s="259"/>
      <c r="GO18" s="259"/>
      <c r="GP18" s="259"/>
      <c r="GQ18" s="259"/>
      <c r="GR18" s="259"/>
      <c r="GS18" s="259"/>
      <c r="GT18" s="259"/>
      <c r="GU18" s="259"/>
      <c r="GV18" s="259"/>
      <c r="GW18" s="259"/>
      <c r="GX18" s="259"/>
      <c r="GY18" s="259"/>
      <c r="GZ18" s="259"/>
      <c r="HA18" s="259"/>
      <c r="HB18" s="259"/>
      <c r="HC18" s="259"/>
      <c r="HD18" s="259"/>
      <c r="HE18" s="259"/>
      <c r="HF18" s="259"/>
      <c r="HG18" s="259"/>
      <c r="HH18" s="259"/>
      <c r="HI18" s="259"/>
      <c r="HJ18" s="259"/>
      <c r="HK18" s="259"/>
      <c r="HL18" s="259"/>
      <c r="HM18" s="259"/>
      <c r="HN18" s="259"/>
      <c r="HO18" s="259"/>
      <c r="HP18" s="259"/>
      <c r="HQ18" s="259"/>
      <c r="HR18" s="259"/>
      <c r="HS18" s="259"/>
      <c r="HT18" s="259"/>
      <c r="HU18" s="259"/>
      <c r="HV18" s="259"/>
      <c r="HW18" s="259"/>
      <c r="HX18" s="259"/>
      <c r="HY18" s="259"/>
      <c r="HZ18" s="259"/>
      <c r="IA18" s="259"/>
      <c r="IB18" s="259"/>
      <c r="IC18" s="259"/>
      <c r="ID18" s="259"/>
      <c r="IE18" s="259"/>
      <c r="IF18" s="259"/>
      <c r="IG18" s="259"/>
      <c r="IH18" s="259"/>
      <c r="II18" s="259"/>
      <c r="IJ18" s="259"/>
      <c r="IK18" s="259"/>
      <c r="IL18" s="259"/>
      <c r="IM18" s="259"/>
      <c r="IN18" s="259"/>
      <c r="IO18" s="259"/>
      <c r="IP18" s="259"/>
      <c r="IQ18" s="259"/>
      <c r="IR18" s="259"/>
      <c r="IS18" s="259"/>
      <c r="IT18" s="259"/>
      <c r="IU18" s="259"/>
      <c r="IV18" s="259"/>
    </row>
    <row r="19" spans="1:256" s="268" customFormat="1">
      <c r="A19" s="270" t="s">
        <v>18</v>
      </c>
      <c r="B19" s="273" t="s">
        <v>385</v>
      </c>
      <c r="C19" s="270"/>
      <c r="D19" s="219"/>
      <c r="E19" s="219"/>
      <c r="F19" s="219"/>
      <c r="G19" s="219"/>
      <c r="H19" s="219"/>
      <c r="I19" s="219"/>
      <c r="J19" s="271"/>
      <c r="K19" s="271"/>
      <c r="L19" s="272"/>
      <c r="M19" s="272"/>
      <c r="N19" s="272"/>
      <c r="O19" s="272" t="s">
        <v>18</v>
      </c>
      <c r="P19" s="217"/>
      <c r="Q19" s="220" t="s">
        <v>18</v>
      </c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259"/>
      <c r="BC19" s="259"/>
      <c r="BD19" s="259"/>
      <c r="BE19" s="259"/>
      <c r="BF19" s="259"/>
      <c r="BG19" s="259"/>
      <c r="BH19" s="259"/>
      <c r="BI19" s="259"/>
      <c r="BJ19" s="259"/>
      <c r="BK19" s="259"/>
      <c r="BL19" s="259"/>
      <c r="BM19" s="259"/>
      <c r="BN19" s="259"/>
      <c r="BO19" s="259"/>
      <c r="BP19" s="259"/>
      <c r="BQ19" s="259"/>
      <c r="BR19" s="259"/>
      <c r="BS19" s="259"/>
      <c r="BT19" s="259"/>
      <c r="BU19" s="259"/>
      <c r="BV19" s="259"/>
      <c r="BW19" s="259"/>
      <c r="BX19" s="259"/>
      <c r="BY19" s="259"/>
      <c r="BZ19" s="259"/>
      <c r="CA19" s="259"/>
      <c r="CB19" s="259"/>
      <c r="CC19" s="259"/>
      <c r="CD19" s="259"/>
      <c r="CE19" s="259"/>
      <c r="CF19" s="259"/>
      <c r="CG19" s="259"/>
      <c r="CH19" s="259"/>
      <c r="CI19" s="259"/>
      <c r="CJ19" s="259"/>
      <c r="CK19" s="259"/>
      <c r="CL19" s="259"/>
      <c r="CM19" s="259"/>
      <c r="CN19" s="259"/>
      <c r="CO19" s="259"/>
      <c r="CP19" s="259"/>
      <c r="CQ19" s="259"/>
      <c r="CR19" s="259"/>
      <c r="CS19" s="259"/>
      <c r="CT19" s="259"/>
      <c r="CU19" s="259"/>
      <c r="CV19" s="259"/>
      <c r="CW19" s="259"/>
      <c r="CX19" s="259"/>
      <c r="CY19" s="259"/>
      <c r="CZ19" s="259"/>
      <c r="DA19" s="259"/>
      <c r="DB19" s="259"/>
      <c r="DC19" s="259"/>
      <c r="DD19" s="259"/>
      <c r="DE19" s="259"/>
      <c r="DF19" s="259"/>
      <c r="DG19" s="259"/>
      <c r="DH19" s="259"/>
      <c r="DI19" s="259"/>
      <c r="DJ19" s="259"/>
      <c r="DK19" s="259"/>
      <c r="DL19" s="259"/>
      <c r="DM19" s="259"/>
      <c r="DN19" s="259"/>
      <c r="DO19" s="259"/>
      <c r="DP19" s="259"/>
      <c r="DQ19" s="259"/>
      <c r="DR19" s="259"/>
      <c r="DS19" s="259"/>
      <c r="DT19" s="259"/>
      <c r="DU19" s="259"/>
      <c r="DV19" s="259"/>
      <c r="DW19" s="259"/>
      <c r="DX19" s="259"/>
      <c r="DY19" s="259"/>
      <c r="DZ19" s="259"/>
      <c r="EA19" s="259"/>
      <c r="EB19" s="259"/>
      <c r="EC19" s="259"/>
      <c r="ED19" s="259"/>
      <c r="EE19" s="259"/>
      <c r="EF19" s="259"/>
      <c r="EG19" s="259"/>
      <c r="EH19" s="259"/>
      <c r="EI19" s="259"/>
      <c r="EJ19" s="259"/>
      <c r="EK19" s="259"/>
      <c r="EL19" s="259"/>
      <c r="EM19" s="259"/>
      <c r="EN19" s="259"/>
      <c r="EO19" s="259"/>
      <c r="EP19" s="259"/>
      <c r="EQ19" s="259"/>
      <c r="ER19" s="259"/>
      <c r="ES19" s="259"/>
      <c r="ET19" s="259"/>
      <c r="EU19" s="259"/>
      <c r="EV19" s="259"/>
      <c r="EW19" s="259"/>
      <c r="EX19" s="259"/>
      <c r="EY19" s="259"/>
      <c r="EZ19" s="259"/>
      <c r="FA19" s="259"/>
      <c r="FB19" s="259"/>
      <c r="FC19" s="259"/>
      <c r="FD19" s="259"/>
      <c r="FE19" s="259"/>
      <c r="FF19" s="259"/>
      <c r="FG19" s="259"/>
      <c r="FH19" s="259"/>
      <c r="FI19" s="259"/>
      <c r="FJ19" s="259"/>
      <c r="FK19" s="259"/>
      <c r="FL19" s="259"/>
      <c r="FM19" s="259"/>
      <c r="FN19" s="259"/>
      <c r="FO19" s="259"/>
      <c r="FP19" s="259"/>
      <c r="FQ19" s="259"/>
      <c r="FR19" s="259"/>
      <c r="FS19" s="259"/>
      <c r="FT19" s="259"/>
      <c r="FU19" s="259"/>
      <c r="FV19" s="259"/>
      <c r="FW19" s="259"/>
      <c r="FX19" s="259"/>
      <c r="FY19" s="259"/>
      <c r="FZ19" s="259"/>
      <c r="GA19" s="259"/>
      <c r="GB19" s="259"/>
      <c r="GC19" s="259"/>
      <c r="GD19" s="259"/>
      <c r="GE19" s="259"/>
      <c r="GF19" s="259"/>
      <c r="GG19" s="259"/>
      <c r="GH19" s="259"/>
      <c r="GI19" s="259"/>
      <c r="GJ19" s="259"/>
      <c r="GK19" s="259"/>
      <c r="GL19" s="259"/>
      <c r="GM19" s="259"/>
      <c r="GN19" s="259"/>
      <c r="GO19" s="259"/>
      <c r="GP19" s="259"/>
      <c r="GQ19" s="259"/>
      <c r="GR19" s="259"/>
      <c r="GS19" s="259"/>
      <c r="GT19" s="259"/>
      <c r="GU19" s="259"/>
      <c r="GV19" s="259"/>
      <c r="GW19" s="259"/>
      <c r="GX19" s="259"/>
      <c r="GY19" s="259"/>
      <c r="GZ19" s="259"/>
      <c r="HA19" s="259"/>
      <c r="HB19" s="259"/>
      <c r="HC19" s="259"/>
      <c r="HD19" s="259"/>
      <c r="HE19" s="259"/>
      <c r="HF19" s="259"/>
      <c r="HG19" s="259"/>
      <c r="HH19" s="259"/>
      <c r="HI19" s="259"/>
      <c r="HJ19" s="259"/>
      <c r="HK19" s="259"/>
      <c r="HL19" s="259"/>
      <c r="HM19" s="259"/>
      <c r="HN19" s="259"/>
      <c r="HO19" s="259"/>
      <c r="HP19" s="259"/>
      <c r="HQ19" s="259"/>
      <c r="HR19" s="259"/>
      <c r="HS19" s="259"/>
      <c r="HT19" s="259"/>
      <c r="HU19" s="259"/>
      <c r="HV19" s="259"/>
      <c r="HW19" s="259"/>
      <c r="HX19" s="259"/>
      <c r="HY19" s="259"/>
      <c r="HZ19" s="259"/>
      <c r="IA19" s="259"/>
      <c r="IB19" s="259"/>
      <c r="IC19" s="259"/>
      <c r="ID19" s="259"/>
      <c r="IE19" s="259"/>
      <c r="IF19" s="259"/>
      <c r="IG19" s="259"/>
      <c r="IH19" s="259"/>
      <c r="II19" s="259"/>
      <c r="IJ19" s="259"/>
      <c r="IK19" s="259"/>
      <c r="IL19" s="259"/>
      <c r="IM19" s="259"/>
      <c r="IN19" s="259"/>
      <c r="IO19" s="259"/>
      <c r="IP19" s="259"/>
      <c r="IQ19" s="259"/>
      <c r="IR19" s="259"/>
      <c r="IS19" s="259"/>
      <c r="IT19" s="259"/>
      <c r="IU19" s="259"/>
      <c r="IV19" s="259"/>
    </row>
    <row r="20" spans="1:256" s="268" customFormat="1">
      <c r="A20" s="253">
        <v>9</v>
      </c>
      <c r="B20" s="254" t="s">
        <v>386</v>
      </c>
      <c r="C20" s="255">
        <v>1</v>
      </c>
      <c r="D20" s="256">
        <f>[1]report_ไตรมาส!P153</f>
        <v>346500</v>
      </c>
      <c r="E20" s="256">
        <v>141750</v>
      </c>
      <c r="F20" s="256">
        <v>0</v>
      </c>
      <c r="G20" s="256">
        <v>0</v>
      </c>
      <c r="H20" s="256">
        <v>0</v>
      </c>
      <c r="I20" s="256">
        <f>(E20+F20+G20)/D20*100</f>
        <v>40.909090909090914</v>
      </c>
      <c r="J20" s="257">
        <v>1</v>
      </c>
      <c r="K20" s="257">
        <v>0</v>
      </c>
      <c r="L20" s="258" t="s">
        <v>371</v>
      </c>
      <c r="M20" s="258">
        <v>1</v>
      </c>
      <c r="N20" s="258" t="s">
        <v>371</v>
      </c>
      <c r="O20" s="258" t="s">
        <v>371</v>
      </c>
      <c r="P20" s="211"/>
      <c r="Q20" s="221" t="s">
        <v>18</v>
      </c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259"/>
      <c r="BC20" s="259"/>
      <c r="BD20" s="259"/>
      <c r="BE20" s="259"/>
      <c r="BF20" s="259"/>
      <c r="BG20" s="259"/>
      <c r="BH20" s="259"/>
      <c r="BI20" s="259"/>
      <c r="BJ20" s="259"/>
      <c r="BK20" s="259"/>
      <c r="BL20" s="259"/>
      <c r="BM20" s="259"/>
      <c r="BN20" s="259"/>
      <c r="BO20" s="259"/>
      <c r="BP20" s="259"/>
      <c r="BQ20" s="259"/>
      <c r="BR20" s="259"/>
      <c r="BS20" s="259"/>
      <c r="BT20" s="259"/>
      <c r="BU20" s="259"/>
      <c r="BV20" s="259"/>
      <c r="BW20" s="259"/>
      <c r="BX20" s="259"/>
      <c r="BY20" s="259"/>
      <c r="BZ20" s="259"/>
      <c r="CA20" s="259"/>
      <c r="CB20" s="259"/>
      <c r="CC20" s="259"/>
      <c r="CD20" s="259"/>
      <c r="CE20" s="259"/>
      <c r="CF20" s="259"/>
      <c r="CG20" s="259"/>
      <c r="CH20" s="259"/>
      <c r="CI20" s="259"/>
      <c r="CJ20" s="259"/>
      <c r="CK20" s="259"/>
      <c r="CL20" s="259"/>
      <c r="CM20" s="259"/>
      <c r="CN20" s="259"/>
      <c r="CO20" s="259"/>
      <c r="CP20" s="259"/>
      <c r="CQ20" s="259"/>
      <c r="CR20" s="259"/>
      <c r="CS20" s="259"/>
      <c r="CT20" s="259"/>
      <c r="CU20" s="259"/>
      <c r="CV20" s="259"/>
      <c r="CW20" s="259"/>
      <c r="CX20" s="259"/>
      <c r="CY20" s="259"/>
      <c r="CZ20" s="259"/>
      <c r="DA20" s="259"/>
      <c r="DB20" s="259"/>
      <c r="DC20" s="259"/>
      <c r="DD20" s="259"/>
      <c r="DE20" s="259"/>
      <c r="DF20" s="259"/>
      <c r="DG20" s="259"/>
      <c r="DH20" s="259"/>
      <c r="DI20" s="259"/>
      <c r="DJ20" s="259"/>
      <c r="DK20" s="259"/>
      <c r="DL20" s="259"/>
      <c r="DM20" s="259"/>
      <c r="DN20" s="259"/>
      <c r="DO20" s="259"/>
      <c r="DP20" s="259"/>
      <c r="DQ20" s="259"/>
      <c r="DR20" s="259"/>
      <c r="DS20" s="259"/>
      <c r="DT20" s="259"/>
      <c r="DU20" s="259"/>
      <c r="DV20" s="259"/>
      <c r="DW20" s="259"/>
      <c r="DX20" s="259"/>
      <c r="DY20" s="259"/>
      <c r="DZ20" s="259"/>
      <c r="EA20" s="259"/>
      <c r="EB20" s="259"/>
      <c r="EC20" s="259"/>
      <c r="ED20" s="259"/>
      <c r="EE20" s="259"/>
      <c r="EF20" s="259"/>
      <c r="EG20" s="259"/>
      <c r="EH20" s="259"/>
      <c r="EI20" s="259"/>
      <c r="EJ20" s="259"/>
      <c r="EK20" s="259"/>
      <c r="EL20" s="259"/>
      <c r="EM20" s="259"/>
      <c r="EN20" s="259"/>
      <c r="EO20" s="259"/>
      <c r="EP20" s="259"/>
      <c r="EQ20" s="259"/>
      <c r="ER20" s="259"/>
      <c r="ES20" s="259"/>
      <c r="ET20" s="259"/>
      <c r="EU20" s="259"/>
      <c r="EV20" s="259"/>
      <c r="EW20" s="259"/>
      <c r="EX20" s="259"/>
      <c r="EY20" s="259"/>
      <c r="EZ20" s="259"/>
      <c r="FA20" s="259"/>
      <c r="FB20" s="259"/>
      <c r="FC20" s="259"/>
      <c r="FD20" s="259"/>
      <c r="FE20" s="259"/>
      <c r="FF20" s="259"/>
      <c r="FG20" s="259"/>
      <c r="FH20" s="259"/>
      <c r="FI20" s="259"/>
      <c r="FJ20" s="259"/>
      <c r="FK20" s="259"/>
      <c r="FL20" s="259"/>
      <c r="FM20" s="259"/>
      <c r="FN20" s="259"/>
      <c r="FO20" s="259"/>
      <c r="FP20" s="259"/>
      <c r="FQ20" s="259"/>
      <c r="FR20" s="259"/>
      <c r="FS20" s="259"/>
      <c r="FT20" s="259"/>
      <c r="FU20" s="259"/>
      <c r="FV20" s="259"/>
      <c r="FW20" s="259"/>
      <c r="FX20" s="259"/>
      <c r="FY20" s="259"/>
      <c r="FZ20" s="259"/>
      <c r="GA20" s="259"/>
      <c r="GB20" s="259"/>
      <c r="GC20" s="259"/>
      <c r="GD20" s="259"/>
      <c r="GE20" s="259"/>
      <c r="GF20" s="259"/>
      <c r="GG20" s="259"/>
      <c r="GH20" s="259"/>
      <c r="GI20" s="259"/>
      <c r="GJ20" s="259"/>
      <c r="GK20" s="259"/>
      <c r="GL20" s="259"/>
      <c r="GM20" s="259"/>
      <c r="GN20" s="259"/>
      <c r="GO20" s="259"/>
      <c r="GP20" s="259"/>
      <c r="GQ20" s="259"/>
      <c r="GR20" s="259"/>
      <c r="GS20" s="259"/>
      <c r="GT20" s="259"/>
      <c r="GU20" s="259"/>
      <c r="GV20" s="259"/>
      <c r="GW20" s="259"/>
      <c r="GX20" s="259"/>
      <c r="GY20" s="259"/>
      <c r="GZ20" s="259"/>
      <c r="HA20" s="259"/>
      <c r="HB20" s="259"/>
      <c r="HC20" s="259"/>
      <c r="HD20" s="259"/>
      <c r="HE20" s="259"/>
      <c r="HF20" s="259"/>
      <c r="HG20" s="259"/>
      <c r="HH20" s="259"/>
      <c r="HI20" s="259"/>
      <c r="HJ20" s="259"/>
      <c r="HK20" s="259"/>
      <c r="HL20" s="259"/>
      <c r="HM20" s="259"/>
      <c r="HN20" s="259"/>
      <c r="HO20" s="259"/>
      <c r="HP20" s="259"/>
      <c r="HQ20" s="259"/>
      <c r="HR20" s="259"/>
      <c r="HS20" s="259"/>
      <c r="HT20" s="259"/>
      <c r="HU20" s="259"/>
      <c r="HV20" s="259"/>
      <c r="HW20" s="259"/>
      <c r="HX20" s="259"/>
      <c r="HY20" s="259"/>
      <c r="HZ20" s="259"/>
      <c r="IA20" s="259"/>
      <c r="IB20" s="259"/>
      <c r="IC20" s="259"/>
      <c r="ID20" s="259"/>
      <c r="IE20" s="259"/>
      <c r="IF20" s="259"/>
      <c r="IG20" s="259"/>
      <c r="IH20" s="259"/>
      <c r="II20" s="259"/>
      <c r="IJ20" s="259"/>
      <c r="IK20" s="259"/>
      <c r="IL20" s="259"/>
      <c r="IM20" s="259"/>
      <c r="IN20" s="259"/>
      <c r="IO20" s="259"/>
      <c r="IP20" s="259"/>
      <c r="IQ20" s="259"/>
      <c r="IR20" s="259"/>
      <c r="IS20" s="259"/>
      <c r="IT20" s="259"/>
      <c r="IU20" s="259"/>
      <c r="IV20" s="259"/>
    </row>
    <row r="21" spans="1:256" s="268" customFormat="1">
      <c r="A21" s="253">
        <v>10</v>
      </c>
      <c r="B21" s="267" t="s">
        <v>387</v>
      </c>
      <c r="C21" s="227">
        <v>1</v>
      </c>
      <c r="D21" s="256">
        <f>[1]report_ไตรมาส!P154</f>
        <v>200000</v>
      </c>
      <c r="E21" s="256">
        <v>120000</v>
      </c>
      <c r="F21" s="256" t="e">
        <f>[2]รายงานการดำเนินงาน!R196</f>
        <v>#REF!</v>
      </c>
      <c r="G21" s="226">
        <v>0</v>
      </c>
      <c r="H21" s="226">
        <v>0</v>
      </c>
      <c r="I21" s="256" t="e">
        <f>(E21+F21+G21)/D21*100</f>
        <v>#REF!</v>
      </c>
      <c r="J21" s="257">
        <v>1</v>
      </c>
      <c r="K21" s="257">
        <v>0</v>
      </c>
      <c r="L21" s="262" t="s">
        <v>371</v>
      </c>
      <c r="M21" s="262">
        <v>1</v>
      </c>
      <c r="N21" s="262" t="s">
        <v>371</v>
      </c>
      <c r="O21" s="262" t="s">
        <v>371</v>
      </c>
      <c r="P21" s="214"/>
      <c r="Q21" s="222" t="s">
        <v>18</v>
      </c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59"/>
      <c r="BC21" s="259"/>
      <c r="BD21" s="259"/>
      <c r="BE21" s="259"/>
      <c r="BF21" s="259"/>
      <c r="BG21" s="259"/>
      <c r="BH21" s="259"/>
      <c r="BI21" s="259"/>
      <c r="BJ21" s="259"/>
      <c r="BK21" s="259"/>
      <c r="BL21" s="259"/>
      <c r="BM21" s="259"/>
      <c r="BN21" s="259"/>
      <c r="BO21" s="259"/>
      <c r="BP21" s="259"/>
      <c r="BQ21" s="259"/>
      <c r="BR21" s="259"/>
      <c r="BS21" s="259"/>
      <c r="BT21" s="259"/>
      <c r="BU21" s="259"/>
      <c r="BV21" s="259"/>
      <c r="BW21" s="259"/>
      <c r="BX21" s="259"/>
      <c r="BY21" s="259"/>
      <c r="BZ21" s="259"/>
      <c r="CA21" s="259"/>
      <c r="CB21" s="259"/>
      <c r="CC21" s="259"/>
      <c r="CD21" s="259"/>
      <c r="CE21" s="259"/>
      <c r="CF21" s="259"/>
      <c r="CG21" s="259"/>
      <c r="CH21" s="259"/>
      <c r="CI21" s="259"/>
      <c r="CJ21" s="259"/>
      <c r="CK21" s="259"/>
      <c r="CL21" s="259"/>
      <c r="CM21" s="259"/>
      <c r="CN21" s="259"/>
      <c r="CO21" s="259"/>
      <c r="CP21" s="259"/>
      <c r="CQ21" s="259"/>
      <c r="CR21" s="259"/>
      <c r="CS21" s="259"/>
      <c r="CT21" s="259"/>
      <c r="CU21" s="259"/>
      <c r="CV21" s="259"/>
      <c r="CW21" s="259"/>
      <c r="CX21" s="259"/>
      <c r="CY21" s="259"/>
      <c r="CZ21" s="259"/>
      <c r="DA21" s="259"/>
      <c r="DB21" s="259"/>
      <c r="DC21" s="259"/>
      <c r="DD21" s="259"/>
      <c r="DE21" s="259"/>
      <c r="DF21" s="259"/>
      <c r="DG21" s="259"/>
      <c r="DH21" s="259"/>
      <c r="DI21" s="259"/>
      <c r="DJ21" s="259"/>
      <c r="DK21" s="259"/>
      <c r="DL21" s="259"/>
      <c r="DM21" s="259"/>
      <c r="DN21" s="259"/>
      <c r="DO21" s="259"/>
      <c r="DP21" s="259"/>
      <c r="DQ21" s="259"/>
      <c r="DR21" s="259"/>
      <c r="DS21" s="259"/>
      <c r="DT21" s="259"/>
      <c r="DU21" s="259"/>
      <c r="DV21" s="259"/>
      <c r="DW21" s="259"/>
      <c r="DX21" s="259"/>
      <c r="DY21" s="259"/>
      <c r="DZ21" s="259"/>
      <c r="EA21" s="259"/>
      <c r="EB21" s="259"/>
      <c r="EC21" s="259"/>
      <c r="ED21" s="259"/>
      <c r="EE21" s="259"/>
      <c r="EF21" s="259"/>
      <c r="EG21" s="259"/>
      <c r="EH21" s="259"/>
      <c r="EI21" s="259"/>
      <c r="EJ21" s="259"/>
      <c r="EK21" s="259"/>
      <c r="EL21" s="259"/>
      <c r="EM21" s="259"/>
      <c r="EN21" s="259"/>
      <c r="EO21" s="259"/>
      <c r="EP21" s="259"/>
      <c r="EQ21" s="259"/>
      <c r="ER21" s="259"/>
      <c r="ES21" s="259"/>
      <c r="ET21" s="259"/>
      <c r="EU21" s="259"/>
      <c r="EV21" s="259"/>
      <c r="EW21" s="259"/>
      <c r="EX21" s="259"/>
      <c r="EY21" s="259"/>
      <c r="EZ21" s="259"/>
      <c r="FA21" s="259"/>
      <c r="FB21" s="259"/>
      <c r="FC21" s="259"/>
      <c r="FD21" s="259"/>
      <c r="FE21" s="259"/>
      <c r="FF21" s="259"/>
      <c r="FG21" s="259"/>
      <c r="FH21" s="259"/>
      <c r="FI21" s="259"/>
      <c r="FJ21" s="259"/>
      <c r="FK21" s="259"/>
      <c r="FL21" s="259"/>
      <c r="FM21" s="259"/>
      <c r="FN21" s="259"/>
      <c r="FO21" s="259"/>
      <c r="FP21" s="259"/>
      <c r="FQ21" s="259"/>
      <c r="FR21" s="259"/>
      <c r="FS21" s="259"/>
      <c r="FT21" s="259"/>
      <c r="FU21" s="259"/>
      <c r="FV21" s="259"/>
      <c r="FW21" s="259"/>
      <c r="FX21" s="259"/>
      <c r="FY21" s="259"/>
      <c r="FZ21" s="259"/>
      <c r="GA21" s="259"/>
      <c r="GB21" s="259"/>
      <c r="GC21" s="259"/>
      <c r="GD21" s="259"/>
      <c r="GE21" s="259"/>
      <c r="GF21" s="259"/>
      <c r="GG21" s="259"/>
      <c r="GH21" s="259"/>
      <c r="GI21" s="259"/>
      <c r="GJ21" s="259"/>
      <c r="GK21" s="259"/>
      <c r="GL21" s="259"/>
      <c r="GM21" s="259"/>
      <c r="GN21" s="259"/>
      <c r="GO21" s="259"/>
      <c r="GP21" s="259"/>
      <c r="GQ21" s="259"/>
      <c r="GR21" s="259"/>
      <c r="GS21" s="259"/>
      <c r="GT21" s="259"/>
      <c r="GU21" s="259"/>
      <c r="GV21" s="259"/>
      <c r="GW21" s="259"/>
      <c r="GX21" s="259"/>
      <c r="GY21" s="259"/>
      <c r="GZ21" s="259"/>
      <c r="HA21" s="259"/>
      <c r="HB21" s="259"/>
      <c r="HC21" s="259"/>
      <c r="HD21" s="259"/>
      <c r="HE21" s="259"/>
      <c r="HF21" s="259"/>
      <c r="HG21" s="259"/>
      <c r="HH21" s="259"/>
      <c r="HI21" s="259"/>
      <c r="HJ21" s="259"/>
      <c r="HK21" s="259"/>
      <c r="HL21" s="259"/>
      <c r="HM21" s="259"/>
      <c r="HN21" s="259"/>
      <c r="HO21" s="259"/>
      <c r="HP21" s="259"/>
      <c r="HQ21" s="259"/>
      <c r="HR21" s="259"/>
      <c r="HS21" s="259"/>
      <c r="HT21" s="259"/>
      <c r="HU21" s="259"/>
      <c r="HV21" s="259"/>
      <c r="HW21" s="259"/>
      <c r="HX21" s="259"/>
      <c r="HY21" s="259"/>
      <c r="HZ21" s="259"/>
      <c r="IA21" s="259"/>
      <c r="IB21" s="259"/>
      <c r="IC21" s="259"/>
      <c r="ID21" s="259"/>
      <c r="IE21" s="259"/>
      <c r="IF21" s="259"/>
      <c r="IG21" s="259"/>
      <c r="IH21" s="259"/>
      <c r="II21" s="259"/>
      <c r="IJ21" s="259"/>
      <c r="IK21" s="259"/>
      <c r="IL21" s="259"/>
      <c r="IM21" s="259"/>
      <c r="IN21" s="259"/>
      <c r="IO21" s="259"/>
      <c r="IP21" s="259"/>
      <c r="IQ21" s="259"/>
      <c r="IR21" s="259"/>
      <c r="IS21" s="259"/>
      <c r="IT21" s="259"/>
      <c r="IU21" s="259"/>
      <c r="IV21" s="259"/>
    </row>
    <row r="22" spans="1:256" s="268" customFormat="1">
      <c r="A22" s="270" t="s">
        <v>18</v>
      </c>
      <c r="B22" s="273" t="s">
        <v>388</v>
      </c>
      <c r="C22" s="270"/>
      <c r="D22" s="219"/>
      <c r="E22" s="219" t="s">
        <v>18</v>
      </c>
      <c r="F22" s="219"/>
      <c r="G22" s="219"/>
      <c r="H22" s="219"/>
      <c r="I22" s="219"/>
      <c r="J22" s="271"/>
      <c r="K22" s="271"/>
      <c r="L22" s="272"/>
      <c r="M22" s="272"/>
      <c r="N22" s="272"/>
      <c r="O22" s="272"/>
      <c r="P22" s="217"/>
      <c r="Q22" s="223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259"/>
      <c r="AW22" s="259"/>
      <c r="AX22" s="259"/>
      <c r="AY22" s="259"/>
      <c r="AZ22" s="259"/>
      <c r="BA22" s="259"/>
      <c r="BB22" s="259"/>
      <c r="BC22" s="259"/>
      <c r="BD22" s="259"/>
      <c r="BE22" s="259"/>
      <c r="BF22" s="259"/>
      <c r="BG22" s="259"/>
      <c r="BH22" s="259"/>
      <c r="BI22" s="259"/>
      <c r="BJ22" s="259"/>
      <c r="BK22" s="259"/>
      <c r="BL22" s="259"/>
      <c r="BM22" s="259"/>
      <c r="BN22" s="259"/>
      <c r="BO22" s="259"/>
      <c r="BP22" s="259"/>
      <c r="BQ22" s="259"/>
      <c r="BR22" s="259"/>
      <c r="BS22" s="259"/>
      <c r="BT22" s="259"/>
      <c r="BU22" s="259"/>
      <c r="BV22" s="259"/>
      <c r="BW22" s="259"/>
      <c r="BX22" s="259"/>
      <c r="BY22" s="259"/>
      <c r="BZ22" s="259"/>
      <c r="CA22" s="259"/>
      <c r="CB22" s="259"/>
      <c r="CC22" s="259"/>
      <c r="CD22" s="259"/>
      <c r="CE22" s="259"/>
      <c r="CF22" s="259"/>
      <c r="CG22" s="259"/>
      <c r="CH22" s="259"/>
      <c r="CI22" s="259"/>
      <c r="CJ22" s="259"/>
      <c r="CK22" s="259"/>
      <c r="CL22" s="259"/>
      <c r="CM22" s="259"/>
      <c r="CN22" s="259"/>
      <c r="CO22" s="259"/>
      <c r="CP22" s="259"/>
      <c r="CQ22" s="259"/>
      <c r="CR22" s="259"/>
      <c r="CS22" s="259"/>
      <c r="CT22" s="259"/>
      <c r="CU22" s="259"/>
      <c r="CV22" s="259"/>
      <c r="CW22" s="259"/>
      <c r="CX22" s="259"/>
      <c r="CY22" s="259"/>
      <c r="CZ22" s="259"/>
      <c r="DA22" s="259"/>
      <c r="DB22" s="259"/>
      <c r="DC22" s="259"/>
      <c r="DD22" s="259"/>
      <c r="DE22" s="259"/>
      <c r="DF22" s="259"/>
      <c r="DG22" s="259"/>
      <c r="DH22" s="259"/>
      <c r="DI22" s="259"/>
      <c r="DJ22" s="259"/>
      <c r="DK22" s="259"/>
      <c r="DL22" s="259"/>
      <c r="DM22" s="259"/>
      <c r="DN22" s="259"/>
      <c r="DO22" s="259"/>
      <c r="DP22" s="259"/>
      <c r="DQ22" s="259"/>
      <c r="DR22" s="259"/>
      <c r="DS22" s="259"/>
      <c r="DT22" s="259"/>
      <c r="DU22" s="259"/>
      <c r="DV22" s="259"/>
      <c r="DW22" s="259"/>
      <c r="DX22" s="259"/>
      <c r="DY22" s="259"/>
      <c r="DZ22" s="259"/>
      <c r="EA22" s="259"/>
      <c r="EB22" s="259"/>
      <c r="EC22" s="259"/>
      <c r="ED22" s="259"/>
      <c r="EE22" s="259"/>
      <c r="EF22" s="259"/>
      <c r="EG22" s="259"/>
      <c r="EH22" s="259"/>
      <c r="EI22" s="259"/>
      <c r="EJ22" s="259"/>
      <c r="EK22" s="259"/>
      <c r="EL22" s="259"/>
      <c r="EM22" s="259"/>
      <c r="EN22" s="259"/>
      <c r="EO22" s="259"/>
      <c r="EP22" s="259"/>
      <c r="EQ22" s="259"/>
      <c r="ER22" s="259"/>
      <c r="ES22" s="259"/>
      <c r="ET22" s="259"/>
      <c r="EU22" s="259"/>
      <c r="EV22" s="259"/>
      <c r="EW22" s="259"/>
      <c r="EX22" s="259"/>
      <c r="EY22" s="259"/>
      <c r="EZ22" s="259"/>
      <c r="FA22" s="259"/>
      <c r="FB22" s="259"/>
      <c r="FC22" s="259"/>
      <c r="FD22" s="259"/>
      <c r="FE22" s="259"/>
      <c r="FF22" s="259"/>
      <c r="FG22" s="259"/>
      <c r="FH22" s="259"/>
      <c r="FI22" s="259"/>
      <c r="FJ22" s="259"/>
      <c r="FK22" s="259"/>
      <c r="FL22" s="259"/>
      <c r="FM22" s="259"/>
      <c r="FN22" s="259"/>
      <c r="FO22" s="259"/>
      <c r="FP22" s="259"/>
      <c r="FQ22" s="259"/>
      <c r="FR22" s="259"/>
      <c r="FS22" s="259"/>
      <c r="FT22" s="259"/>
      <c r="FU22" s="259"/>
      <c r="FV22" s="259"/>
      <c r="FW22" s="259"/>
      <c r="FX22" s="259"/>
      <c r="FY22" s="259"/>
      <c r="FZ22" s="259"/>
      <c r="GA22" s="259"/>
      <c r="GB22" s="259"/>
      <c r="GC22" s="259"/>
      <c r="GD22" s="259"/>
      <c r="GE22" s="259"/>
      <c r="GF22" s="259"/>
      <c r="GG22" s="259"/>
      <c r="GH22" s="259"/>
      <c r="GI22" s="259"/>
      <c r="GJ22" s="259"/>
      <c r="GK22" s="259"/>
      <c r="GL22" s="259"/>
      <c r="GM22" s="259"/>
      <c r="GN22" s="259"/>
      <c r="GO22" s="259"/>
      <c r="GP22" s="259"/>
      <c r="GQ22" s="259"/>
      <c r="GR22" s="259"/>
      <c r="GS22" s="259"/>
      <c r="GT22" s="259"/>
      <c r="GU22" s="259"/>
      <c r="GV22" s="259"/>
      <c r="GW22" s="259"/>
      <c r="GX22" s="259"/>
      <c r="GY22" s="259"/>
      <c r="GZ22" s="259"/>
      <c r="HA22" s="259"/>
      <c r="HB22" s="259"/>
      <c r="HC22" s="259"/>
      <c r="HD22" s="259"/>
      <c r="HE22" s="259"/>
      <c r="HF22" s="259"/>
      <c r="HG22" s="259"/>
      <c r="HH22" s="259"/>
      <c r="HI22" s="259"/>
      <c r="HJ22" s="259"/>
      <c r="HK22" s="259"/>
      <c r="HL22" s="259"/>
      <c r="HM22" s="259"/>
      <c r="HN22" s="259"/>
      <c r="HO22" s="259"/>
      <c r="HP22" s="259"/>
      <c r="HQ22" s="259"/>
      <c r="HR22" s="259"/>
      <c r="HS22" s="259"/>
      <c r="HT22" s="259"/>
      <c r="HU22" s="259"/>
      <c r="HV22" s="259"/>
      <c r="HW22" s="259"/>
      <c r="HX22" s="259"/>
      <c r="HY22" s="259"/>
      <c r="HZ22" s="259"/>
      <c r="IA22" s="259"/>
      <c r="IB22" s="259"/>
      <c r="IC22" s="259"/>
      <c r="ID22" s="259"/>
      <c r="IE22" s="259"/>
      <c r="IF22" s="259"/>
      <c r="IG22" s="259"/>
      <c r="IH22" s="259"/>
      <c r="II22" s="259"/>
      <c r="IJ22" s="259"/>
      <c r="IK22" s="259"/>
      <c r="IL22" s="259"/>
      <c r="IM22" s="259"/>
      <c r="IN22" s="259"/>
      <c r="IO22" s="259"/>
      <c r="IP22" s="259"/>
      <c r="IQ22" s="259"/>
      <c r="IR22" s="259"/>
      <c r="IS22" s="259"/>
      <c r="IT22" s="259"/>
      <c r="IU22" s="259"/>
      <c r="IV22" s="259"/>
    </row>
    <row r="23" spans="1:256" s="268" customFormat="1">
      <c r="A23" s="253">
        <v>11</v>
      </c>
      <c r="B23" s="274" t="s">
        <v>389</v>
      </c>
      <c r="C23" s="253">
        <v>9</v>
      </c>
      <c r="D23" s="275">
        <f>[1]report_ไตรมาส!P155+[1]report_ไตรมาส!P156+[1]report_ไตรมาส!P157+[1]report_ไตรมาส!P158+[1]report_ไตรมาส!P159+[1]report_ไตรมาส!P160+[1]report_ไตรมาส!P166+[1]report_ไตรมาส!P167+[1]report_ไตรมาส!P168</f>
        <v>2760900</v>
      </c>
      <c r="E23" s="276">
        <f>[1]report_ไตรมาส!Q158</f>
        <v>40000</v>
      </c>
      <c r="F23" s="276">
        <v>0</v>
      </c>
      <c r="G23" s="256">
        <v>0</v>
      </c>
      <c r="H23" s="256">
        <v>0</v>
      </c>
      <c r="I23" s="277">
        <f>(E23+F23+G23)/D23*100</f>
        <v>1.4488029265819116</v>
      </c>
      <c r="J23" s="278">
        <v>9</v>
      </c>
      <c r="K23" s="278"/>
      <c r="L23" s="279">
        <v>2</v>
      </c>
      <c r="M23" s="258">
        <v>7</v>
      </c>
      <c r="N23" s="279">
        <v>0</v>
      </c>
      <c r="O23" s="279" t="s">
        <v>371</v>
      </c>
      <c r="P23" s="224"/>
      <c r="Q23" s="225" t="s">
        <v>18</v>
      </c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80"/>
      <c r="AP23" s="280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0"/>
      <c r="BH23" s="280"/>
      <c r="BI23" s="280"/>
      <c r="BJ23" s="280"/>
      <c r="BK23" s="280"/>
      <c r="BL23" s="280"/>
      <c r="BM23" s="280"/>
      <c r="BN23" s="280"/>
      <c r="BO23" s="280"/>
      <c r="BP23" s="280"/>
      <c r="BQ23" s="280"/>
      <c r="BR23" s="280"/>
      <c r="BS23" s="280"/>
      <c r="BT23" s="280"/>
      <c r="BU23" s="280"/>
      <c r="BV23" s="280"/>
      <c r="BW23" s="280"/>
      <c r="BX23" s="280"/>
      <c r="BY23" s="280"/>
      <c r="BZ23" s="280"/>
      <c r="CA23" s="280"/>
      <c r="CB23" s="280"/>
      <c r="CC23" s="280"/>
      <c r="CD23" s="280"/>
      <c r="CE23" s="280"/>
      <c r="CF23" s="280"/>
      <c r="CG23" s="280"/>
      <c r="CH23" s="280"/>
      <c r="CI23" s="280"/>
      <c r="CJ23" s="280"/>
      <c r="CK23" s="280"/>
      <c r="CL23" s="280"/>
      <c r="CM23" s="280"/>
      <c r="CN23" s="280"/>
      <c r="CO23" s="280"/>
      <c r="CP23" s="280"/>
      <c r="CQ23" s="280"/>
      <c r="CR23" s="280"/>
      <c r="CS23" s="280"/>
      <c r="CT23" s="280"/>
      <c r="CU23" s="280"/>
      <c r="CV23" s="280"/>
      <c r="CW23" s="280"/>
      <c r="CX23" s="280"/>
      <c r="CY23" s="280"/>
      <c r="CZ23" s="280"/>
      <c r="DA23" s="280"/>
      <c r="DB23" s="280"/>
      <c r="DC23" s="280"/>
      <c r="DD23" s="280"/>
      <c r="DE23" s="280"/>
      <c r="DF23" s="280"/>
      <c r="DG23" s="280"/>
      <c r="DH23" s="280"/>
      <c r="DI23" s="280"/>
      <c r="DJ23" s="280"/>
      <c r="DK23" s="280"/>
      <c r="DL23" s="280"/>
      <c r="DM23" s="280"/>
      <c r="DN23" s="280"/>
      <c r="DO23" s="280"/>
      <c r="DP23" s="280"/>
      <c r="DQ23" s="280"/>
      <c r="DR23" s="280"/>
      <c r="DS23" s="280"/>
      <c r="DT23" s="280"/>
      <c r="DU23" s="280"/>
      <c r="DV23" s="280"/>
      <c r="DW23" s="280"/>
      <c r="DX23" s="280"/>
      <c r="DY23" s="280"/>
      <c r="DZ23" s="280"/>
      <c r="EA23" s="280"/>
      <c r="EB23" s="280"/>
      <c r="EC23" s="280"/>
      <c r="ED23" s="280"/>
      <c r="EE23" s="280"/>
      <c r="EF23" s="280"/>
      <c r="EG23" s="280"/>
      <c r="EH23" s="280"/>
      <c r="EI23" s="280"/>
      <c r="EJ23" s="280"/>
      <c r="EK23" s="280"/>
      <c r="EL23" s="280"/>
      <c r="EM23" s="280"/>
      <c r="EN23" s="280"/>
      <c r="EO23" s="280"/>
      <c r="EP23" s="280"/>
      <c r="EQ23" s="280"/>
      <c r="ER23" s="280"/>
      <c r="ES23" s="280"/>
      <c r="ET23" s="280"/>
      <c r="EU23" s="280"/>
      <c r="EV23" s="280"/>
      <c r="EW23" s="280"/>
      <c r="EX23" s="280"/>
      <c r="EY23" s="280"/>
      <c r="EZ23" s="280"/>
      <c r="FA23" s="280"/>
      <c r="FB23" s="280"/>
      <c r="FC23" s="280"/>
      <c r="FD23" s="280"/>
      <c r="FE23" s="280"/>
      <c r="FF23" s="280"/>
      <c r="FG23" s="280"/>
      <c r="FH23" s="280"/>
      <c r="FI23" s="280"/>
      <c r="FJ23" s="280"/>
      <c r="FK23" s="280"/>
      <c r="FL23" s="280"/>
      <c r="FM23" s="280"/>
      <c r="FN23" s="280"/>
      <c r="FO23" s="280"/>
      <c r="FP23" s="280"/>
      <c r="FQ23" s="280"/>
      <c r="FR23" s="280"/>
      <c r="FS23" s="280"/>
      <c r="FT23" s="280"/>
      <c r="FU23" s="280"/>
      <c r="FV23" s="280"/>
      <c r="FW23" s="280"/>
      <c r="FX23" s="280"/>
      <c r="FY23" s="280"/>
      <c r="FZ23" s="280"/>
      <c r="GA23" s="280"/>
      <c r="GB23" s="280"/>
      <c r="GC23" s="280"/>
      <c r="GD23" s="280"/>
      <c r="GE23" s="280"/>
      <c r="GF23" s="280"/>
      <c r="GG23" s="280"/>
      <c r="GH23" s="280"/>
      <c r="GI23" s="280"/>
      <c r="GJ23" s="280"/>
      <c r="GK23" s="280"/>
      <c r="GL23" s="280"/>
      <c r="GM23" s="280"/>
      <c r="GN23" s="280"/>
      <c r="GO23" s="280"/>
      <c r="GP23" s="280"/>
      <c r="GQ23" s="280"/>
      <c r="GR23" s="280"/>
      <c r="GS23" s="280"/>
      <c r="GT23" s="280"/>
      <c r="GU23" s="280"/>
      <c r="GV23" s="280"/>
      <c r="GW23" s="280"/>
      <c r="GX23" s="280"/>
      <c r="GY23" s="280"/>
      <c r="GZ23" s="280"/>
      <c r="HA23" s="280"/>
      <c r="HB23" s="280"/>
      <c r="HC23" s="280"/>
      <c r="HD23" s="280"/>
      <c r="HE23" s="280"/>
      <c r="HF23" s="280"/>
      <c r="HG23" s="280"/>
      <c r="HH23" s="280"/>
      <c r="HI23" s="280"/>
      <c r="HJ23" s="280"/>
      <c r="HK23" s="280"/>
      <c r="HL23" s="280"/>
      <c r="HM23" s="280"/>
      <c r="HN23" s="280"/>
      <c r="HO23" s="280"/>
      <c r="HP23" s="280"/>
      <c r="HQ23" s="280"/>
      <c r="HR23" s="280"/>
      <c r="HS23" s="280"/>
      <c r="HT23" s="280"/>
      <c r="HU23" s="280"/>
      <c r="HV23" s="280"/>
      <c r="HW23" s="280"/>
      <c r="HX23" s="280"/>
      <c r="HY23" s="280"/>
      <c r="HZ23" s="280"/>
      <c r="IA23" s="280"/>
      <c r="IB23" s="280"/>
      <c r="IC23" s="280"/>
      <c r="ID23" s="280"/>
      <c r="IE23" s="280"/>
      <c r="IF23" s="280"/>
      <c r="IG23" s="280"/>
      <c r="IH23" s="280"/>
      <c r="II23" s="280"/>
      <c r="IJ23" s="280"/>
      <c r="IK23" s="280"/>
      <c r="IL23" s="280"/>
      <c r="IM23" s="280"/>
      <c r="IN23" s="280"/>
      <c r="IO23" s="280"/>
      <c r="IP23" s="280"/>
      <c r="IQ23" s="280"/>
      <c r="IR23" s="280"/>
      <c r="IS23" s="280"/>
      <c r="IT23" s="280"/>
      <c r="IU23" s="280"/>
      <c r="IV23" s="280"/>
    </row>
    <row r="24" spans="1:256" s="268" customFormat="1">
      <c r="A24" s="270" t="s">
        <v>18</v>
      </c>
      <c r="B24" s="281" t="s">
        <v>390</v>
      </c>
      <c r="C24" s="270"/>
      <c r="D24" s="219"/>
      <c r="E24" s="219"/>
      <c r="F24" s="219"/>
      <c r="G24" s="219"/>
      <c r="H24" s="219"/>
      <c r="I24" s="219"/>
      <c r="J24" s="271"/>
      <c r="K24" s="271"/>
      <c r="L24" s="272"/>
      <c r="M24" s="272"/>
      <c r="N24" s="272"/>
      <c r="O24" s="272"/>
      <c r="P24" s="217"/>
      <c r="Q24" s="223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259"/>
      <c r="AZ24" s="259"/>
      <c r="BA24" s="259"/>
      <c r="BB24" s="259"/>
      <c r="BC24" s="259"/>
      <c r="BD24" s="259"/>
      <c r="BE24" s="259"/>
      <c r="BF24" s="259"/>
      <c r="BG24" s="259"/>
      <c r="BH24" s="259"/>
      <c r="BI24" s="259"/>
      <c r="BJ24" s="259"/>
      <c r="BK24" s="259"/>
      <c r="BL24" s="259"/>
      <c r="BM24" s="259"/>
      <c r="BN24" s="259"/>
      <c r="BO24" s="259"/>
      <c r="BP24" s="259"/>
      <c r="BQ24" s="259"/>
      <c r="BR24" s="259"/>
      <c r="BS24" s="259"/>
      <c r="BT24" s="259"/>
      <c r="BU24" s="259"/>
      <c r="BV24" s="259"/>
      <c r="BW24" s="259"/>
      <c r="BX24" s="259"/>
      <c r="BY24" s="259"/>
      <c r="BZ24" s="259"/>
      <c r="CA24" s="259"/>
      <c r="CB24" s="259"/>
      <c r="CC24" s="259"/>
      <c r="CD24" s="259"/>
      <c r="CE24" s="259"/>
      <c r="CF24" s="259"/>
      <c r="CG24" s="259"/>
      <c r="CH24" s="259"/>
      <c r="CI24" s="259"/>
      <c r="CJ24" s="259"/>
      <c r="CK24" s="259"/>
      <c r="CL24" s="259"/>
      <c r="CM24" s="259"/>
      <c r="CN24" s="259"/>
      <c r="CO24" s="259"/>
      <c r="CP24" s="259"/>
      <c r="CQ24" s="259"/>
      <c r="CR24" s="259"/>
      <c r="CS24" s="259"/>
      <c r="CT24" s="259"/>
      <c r="CU24" s="259"/>
      <c r="CV24" s="259"/>
      <c r="CW24" s="259"/>
      <c r="CX24" s="259"/>
      <c r="CY24" s="259"/>
      <c r="CZ24" s="259"/>
      <c r="DA24" s="259"/>
      <c r="DB24" s="259"/>
      <c r="DC24" s="259"/>
      <c r="DD24" s="259"/>
      <c r="DE24" s="259"/>
      <c r="DF24" s="259"/>
      <c r="DG24" s="259"/>
      <c r="DH24" s="259"/>
      <c r="DI24" s="259"/>
      <c r="DJ24" s="259"/>
      <c r="DK24" s="259"/>
      <c r="DL24" s="259"/>
      <c r="DM24" s="259"/>
      <c r="DN24" s="259"/>
      <c r="DO24" s="259"/>
      <c r="DP24" s="259"/>
      <c r="DQ24" s="259"/>
      <c r="DR24" s="259"/>
      <c r="DS24" s="259"/>
      <c r="DT24" s="259"/>
      <c r="DU24" s="259"/>
      <c r="DV24" s="259"/>
      <c r="DW24" s="259"/>
      <c r="DX24" s="259"/>
      <c r="DY24" s="259"/>
      <c r="DZ24" s="259"/>
      <c r="EA24" s="259"/>
      <c r="EB24" s="259"/>
      <c r="EC24" s="259"/>
      <c r="ED24" s="259"/>
      <c r="EE24" s="259"/>
      <c r="EF24" s="259"/>
      <c r="EG24" s="259"/>
      <c r="EH24" s="259"/>
      <c r="EI24" s="259"/>
      <c r="EJ24" s="259"/>
      <c r="EK24" s="259"/>
      <c r="EL24" s="259"/>
      <c r="EM24" s="259"/>
      <c r="EN24" s="259"/>
      <c r="EO24" s="259"/>
      <c r="EP24" s="259"/>
      <c r="EQ24" s="259"/>
      <c r="ER24" s="259"/>
      <c r="ES24" s="259"/>
      <c r="ET24" s="259"/>
      <c r="EU24" s="259"/>
      <c r="EV24" s="259"/>
      <c r="EW24" s="259"/>
      <c r="EX24" s="259"/>
      <c r="EY24" s="259"/>
      <c r="EZ24" s="259"/>
      <c r="FA24" s="259"/>
      <c r="FB24" s="259"/>
      <c r="FC24" s="259"/>
      <c r="FD24" s="259"/>
      <c r="FE24" s="259"/>
      <c r="FF24" s="259"/>
      <c r="FG24" s="259"/>
      <c r="FH24" s="259"/>
      <c r="FI24" s="259"/>
      <c r="FJ24" s="259"/>
      <c r="FK24" s="259"/>
      <c r="FL24" s="259"/>
      <c r="FM24" s="259"/>
      <c r="FN24" s="259"/>
      <c r="FO24" s="259"/>
      <c r="FP24" s="259"/>
      <c r="FQ24" s="259"/>
      <c r="FR24" s="259"/>
      <c r="FS24" s="259"/>
      <c r="FT24" s="259"/>
      <c r="FU24" s="259"/>
      <c r="FV24" s="259"/>
      <c r="FW24" s="259"/>
      <c r="FX24" s="259"/>
      <c r="FY24" s="259"/>
      <c r="FZ24" s="259"/>
      <c r="GA24" s="259"/>
      <c r="GB24" s="259"/>
      <c r="GC24" s="259"/>
      <c r="GD24" s="259"/>
      <c r="GE24" s="259"/>
      <c r="GF24" s="259"/>
      <c r="GG24" s="259"/>
      <c r="GH24" s="259"/>
      <c r="GI24" s="259"/>
      <c r="GJ24" s="259"/>
      <c r="GK24" s="259"/>
      <c r="GL24" s="259"/>
      <c r="GM24" s="259"/>
      <c r="GN24" s="259"/>
      <c r="GO24" s="259"/>
      <c r="GP24" s="259"/>
      <c r="GQ24" s="259"/>
      <c r="GR24" s="259"/>
      <c r="GS24" s="259"/>
      <c r="GT24" s="259"/>
      <c r="GU24" s="259"/>
      <c r="GV24" s="259"/>
      <c r="GW24" s="259"/>
      <c r="GX24" s="259"/>
      <c r="GY24" s="259"/>
      <c r="GZ24" s="259"/>
      <c r="HA24" s="259"/>
      <c r="HB24" s="259"/>
      <c r="HC24" s="259"/>
      <c r="HD24" s="259"/>
      <c r="HE24" s="259"/>
      <c r="HF24" s="259"/>
      <c r="HG24" s="259"/>
      <c r="HH24" s="259"/>
      <c r="HI24" s="259"/>
      <c r="HJ24" s="259"/>
      <c r="HK24" s="259"/>
      <c r="HL24" s="259"/>
      <c r="HM24" s="259"/>
      <c r="HN24" s="259"/>
      <c r="HO24" s="259"/>
      <c r="HP24" s="259"/>
      <c r="HQ24" s="259"/>
      <c r="HR24" s="259"/>
      <c r="HS24" s="259"/>
      <c r="HT24" s="259"/>
      <c r="HU24" s="259"/>
      <c r="HV24" s="259"/>
      <c r="HW24" s="259"/>
      <c r="HX24" s="259"/>
      <c r="HY24" s="259"/>
      <c r="HZ24" s="259"/>
      <c r="IA24" s="259"/>
      <c r="IB24" s="259"/>
      <c r="IC24" s="259"/>
      <c r="ID24" s="259"/>
      <c r="IE24" s="259"/>
      <c r="IF24" s="259"/>
      <c r="IG24" s="259"/>
      <c r="IH24" s="259"/>
      <c r="II24" s="259"/>
      <c r="IJ24" s="259"/>
      <c r="IK24" s="259"/>
      <c r="IL24" s="259"/>
      <c r="IM24" s="259"/>
      <c r="IN24" s="259"/>
      <c r="IO24" s="259"/>
      <c r="IP24" s="259"/>
      <c r="IQ24" s="259"/>
      <c r="IR24" s="259"/>
      <c r="IS24" s="259"/>
      <c r="IT24" s="259"/>
      <c r="IU24" s="259"/>
      <c r="IV24" s="259"/>
    </row>
    <row r="25" spans="1:256" s="268" customFormat="1">
      <c r="A25" s="253">
        <v>13</v>
      </c>
      <c r="B25" s="274" t="s">
        <v>391</v>
      </c>
      <c r="C25" s="253">
        <v>5</v>
      </c>
      <c r="D25" s="282">
        <f>[1]report_ไตรมาส!P161+[1]report_ไตรมาส!P162+[1]report_ไตรมาส!P163+[1]report_ไตรมาส!P164+[1]report_ไตรมาส!P165</f>
        <v>504000</v>
      </c>
      <c r="E25" s="275">
        <f>[1]report_ไตรมาส!Q165</f>
        <v>76200</v>
      </c>
      <c r="F25" s="256">
        <v>0</v>
      </c>
      <c r="G25" s="256">
        <v>0</v>
      </c>
      <c r="H25" s="256">
        <v>0</v>
      </c>
      <c r="I25" s="275">
        <f>(E25+F25)/D25*100</f>
        <v>15.119047619047619</v>
      </c>
      <c r="J25" s="282">
        <v>5</v>
      </c>
      <c r="K25" s="282"/>
      <c r="L25" s="279" t="s">
        <v>371</v>
      </c>
      <c r="M25" s="279">
        <v>5</v>
      </c>
      <c r="N25" s="279">
        <v>0</v>
      </c>
      <c r="O25" s="279" t="s">
        <v>371</v>
      </c>
      <c r="P25" s="224"/>
      <c r="Q25" s="225" t="s">
        <v>18</v>
      </c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/>
      <c r="BB25" s="280"/>
      <c r="BC25" s="280"/>
      <c r="BD25" s="280"/>
      <c r="BE25" s="280"/>
      <c r="BF25" s="280"/>
      <c r="BG25" s="280"/>
      <c r="BH25" s="280"/>
      <c r="BI25" s="280"/>
      <c r="BJ25" s="280"/>
      <c r="BK25" s="280"/>
      <c r="BL25" s="280"/>
      <c r="BM25" s="280"/>
      <c r="BN25" s="280"/>
      <c r="BO25" s="280"/>
      <c r="BP25" s="280"/>
      <c r="BQ25" s="280"/>
      <c r="BR25" s="280"/>
      <c r="BS25" s="280"/>
      <c r="BT25" s="280"/>
      <c r="BU25" s="280"/>
      <c r="BV25" s="280"/>
      <c r="BW25" s="280"/>
      <c r="BX25" s="280"/>
      <c r="BY25" s="280"/>
      <c r="BZ25" s="280"/>
      <c r="CA25" s="280"/>
      <c r="CB25" s="280"/>
      <c r="CC25" s="280"/>
      <c r="CD25" s="280"/>
      <c r="CE25" s="280"/>
      <c r="CF25" s="280"/>
      <c r="CG25" s="280"/>
      <c r="CH25" s="280"/>
      <c r="CI25" s="280"/>
      <c r="CJ25" s="280"/>
      <c r="CK25" s="280"/>
      <c r="CL25" s="280"/>
      <c r="CM25" s="280"/>
      <c r="CN25" s="280"/>
      <c r="CO25" s="280"/>
      <c r="CP25" s="280"/>
      <c r="CQ25" s="280"/>
      <c r="CR25" s="280"/>
      <c r="CS25" s="280"/>
      <c r="CT25" s="280"/>
      <c r="CU25" s="280"/>
      <c r="CV25" s="280"/>
      <c r="CW25" s="280"/>
      <c r="CX25" s="280"/>
      <c r="CY25" s="280"/>
      <c r="CZ25" s="280"/>
      <c r="DA25" s="280"/>
      <c r="DB25" s="280"/>
      <c r="DC25" s="280"/>
      <c r="DD25" s="280"/>
      <c r="DE25" s="280"/>
      <c r="DF25" s="280"/>
      <c r="DG25" s="280"/>
      <c r="DH25" s="280"/>
      <c r="DI25" s="280"/>
      <c r="DJ25" s="280"/>
      <c r="DK25" s="280"/>
      <c r="DL25" s="280"/>
      <c r="DM25" s="280"/>
      <c r="DN25" s="280"/>
      <c r="DO25" s="280"/>
      <c r="DP25" s="280"/>
      <c r="DQ25" s="280"/>
      <c r="DR25" s="280"/>
      <c r="DS25" s="280"/>
      <c r="DT25" s="280"/>
      <c r="DU25" s="280"/>
      <c r="DV25" s="280"/>
      <c r="DW25" s="280"/>
      <c r="DX25" s="280"/>
      <c r="DY25" s="280"/>
      <c r="DZ25" s="280"/>
      <c r="EA25" s="280"/>
      <c r="EB25" s="280"/>
      <c r="EC25" s="280"/>
      <c r="ED25" s="280"/>
      <c r="EE25" s="280"/>
      <c r="EF25" s="280"/>
      <c r="EG25" s="280"/>
      <c r="EH25" s="280"/>
      <c r="EI25" s="280"/>
      <c r="EJ25" s="280"/>
      <c r="EK25" s="280"/>
      <c r="EL25" s="280"/>
      <c r="EM25" s="280"/>
      <c r="EN25" s="280"/>
      <c r="EO25" s="280"/>
      <c r="EP25" s="280"/>
      <c r="EQ25" s="280"/>
      <c r="ER25" s="280"/>
      <c r="ES25" s="280"/>
      <c r="ET25" s="280"/>
      <c r="EU25" s="280"/>
      <c r="EV25" s="280"/>
      <c r="EW25" s="280"/>
      <c r="EX25" s="280"/>
      <c r="EY25" s="280"/>
      <c r="EZ25" s="280"/>
      <c r="FA25" s="280"/>
      <c r="FB25" s="280"/>
      <c r="FC25" s="280"/>
      <c r="FD25" s="280"/>
      <c r="FE25" s="280"/>
      <c r="FF25" s="280"/>
      <c r="FG25" s="280"/>
      <c r="FH25" s="280"/>
      <c r="FI25" s="280"/>
      <c r="FJ25" s="280"/>
      <c r="FK25" s="280"/>
      <c r="FL25" s="280"/>
      <c r="FM25" s="280"/>
      <c r="FN25" s="280"/>
      <c r="FO25" s="280"/>
      <c r="FP25" s="280"/>
      <c r="FQ25" s="280"/>
      <c r="FR25" s="280"/>
      <c r="FS25" s="280"/>
      <c r="FT25" s="280"/>
      <c r="FU25" s="280"/>
      <c r="FV25" s="280"/>
      <c r="FW25" s="280"/>
      <c r="FX25" s="280"/>
      <c r="FY25" s="280"/>
      <c r="FZ25" s="280"/>
      <c r="GA25" s="280"/>
      <c r="GB25" s="280"/>
      <c r="GC25" s="280"/>
      <c r="GD25" s="280"/>
      <c r="GE25" s="280"/>
      <c r="GF25" s="280"/>
      <c r="GG25" s="280"/>
      <c r="GH25" s="280"/>
      <c r="GI25" s="280"/>
      <c r="GJ25" s="280"/>
      <c r="GK25" s="280"/>
      <c r="GL25" s="280"/>
      <c r="GM25" s="280"/>
      <c r="GN25" s="280"/>
      <c r="GO25" s="280"/>
      <c r="GP25" s="280"/>
      <c r="GQ25" s="280"/>
      <c r="GR25" s="280"/>
      <c r="GS25" s="280"/>
      <c r="GT25" s="280"/>
      <c r="GU25" s="280"/>
      <c r="GV25" s="280"/>
      <c r="GW25" s="280"/>
      <c r="GX25" s="280"/>
      <c r="GY25" s="280"/>
      <c r="GZ25" s="280"/>
      <c r="HA25" s="280"/>
      <c r="HB25" s="280"/>
      <c r="HC25" s="280"/>
      <c r="HD25" s="280"/>
      <c r="HE25" s="280"/>
      <c r="HF25" s="280"/>
      <c r="HG25" s="280"/>
      <c r="HH25" s="280"/>
      <c r="HI25" s="280"/>
      <c r="HJ25" s="280"/>
      <c r="HK25" s="280"/>
      <c r="HL25" s="280"/>
      <c r="HM25" s="280"/>
      <c r="HN25" s="280"/>
      <c r="HO25" s="280"/>
      <c r="HP25" s="280"/>
      <c r="HQ25" s="280"/>
      <c r="HR25" s="280"/>
      <c r="HS25" s="280"/>
      <c r="HT25" s="280"/>
      <c r="HU25" s="280"/>
      <c r="HV25" s="280"/>
      <c r="HW25" s="280"/>
      <c r="HX25" s="280"/>
      <c r="HY25" s="280"/>
      <c r="HZ25" s="280"/>
      <c r="IA25" s="280"/>
      <c r="IB25" s="280"/>
      <c r="IC25" s="280"/>
      <c r="ID25" s="280"/>
      <c r="IE25" s="280"/>
      <c r="IF25" s="280"/>
      <c r="IG25" s="280"/>
      <c r="IH25" s="280"/>
      <c r="II25" s="280"/>
      <c r="IJ25" s="280"/>
      <c r="IK25" s="280"/>
      <c r="IL25" s="280"/>
      <c r="IM25" s="280"/>
      <c r="IN25" s="280"/>
      <c r="IO25" s="280"/>
      <c r="IP25" s="280"/>
      <c r="IQ25" s="280"/>
      <c r="IR25" s="280"/>
      <c r="IS25" s="280"/>
      <c r="IT25" s="280"/>
      <c r="IU25" s="280"/>
      <c r="IV25" s="280"/>
    </row>
    <row r="26" spans="1:256" s="268" customFormat="1">
      <c r="A26" s="270" t="s">
        <v>18</v>
      </c>
      <c r="B26" s="281" t="s">
        <v>392</v>
      </c>
      <c r="C26" s="270"/>
      <c r="D26" s="219"/>
      <c r="E26" s="219"/>
      <c r="F26" s="219"/>
      <c r="G26" s="219"/>
      <c r="H26" s="219"/>
      <c r="I26" s="219"/>
      <c r="J26" s="271"/>
      <c r="K26" s="271"/>
      <c r="L26" s="272"/>
      <c r="M26" s="272"/>
      <c r="N26" s="272"/>
      <c r="O26" s="272"/>
      <c r="P26" s="217"/>
      <c r="Q26" s="223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59"/>
      <c r="BI26" s="259"/>
      <c r="BJ26" s="259"/>
      <c r="BK26" s="259"/>
      <c r="BL26" s="259"/>
      <c r="BM26" s="259"/>
      <c r="BN26" s="259"/>
      <c r="BO26" s="259"/>
      <c r="BP26" s="259"/>
      <c r="BQ26" s="259"/>
      <c r="BR26" s="259"/>
      <c r="BS26" s="259"/>
      <c r="BT26" s="259"/>
      <c r="BU26" s="259"/>
      <c r="BV26" s="259"/>
      <c r="BW26" s="259"/>
      <c r="BX26" s="259"/>
      <c r="BY26" s="259"/>
      <c r="BZ26" s="259"/>
      <c r="CA26" s="259"/>
      <c r="CB26" s="259"/>
      <c r="CC26" s="259"/>
      <c r="CD26" s="259"/>
      <c r="CE26" s="259"/>
      <c r="CF26" s="259"/>
      <c r="CG26" s="259"/>
      <c r="CH26" s="259"/>
      <c r="CI26" s="259"/>
      <c r="CJ26" s="259"/>
      <c r="CK26" s="259"/>
      <c r="CL26" s="259"/>
      <c r="CM26" s="259"/>
      <c r="CN26" s="259"/>
      <c r="CO26" s="259"/>
      <c r="CP26" s="259"/>
      <c r="CQ26" s="259"/>
      <c r="CR26" s="259"/>
      <c r="CS26" s="259"/>
      <c r="CT26" s="259"/>
      <c r="CU26" s="259"/>
      <c r="CV26" s="259"/>
      <c r="CW26" s="259"/>
      <c r="CX26" s="259"/>
      <c r="CY26" s="259"/>
      <c r="CZ26" s="259"/>
      <c r="DA26" s="259"/>
      <c r="DB26" s="259"/>
      <c r="DC26" s="259"/>
      <c r="DD26" s="259"/>
      <c r="DE26" s="259"/>
      <c r="DF26" s="259"/>
      <c r="DG26" s="259"/>
      <c r="DH26" s="259"/>
      <c r="DI26" s="259"/>
      <c r="DJ26" s="259"/>
      <c r="DK26" s="259"/>
      <c r="DL26" s="259"/>
      <c r="DM26" s="259"/>
      <c r="DN26" s="259"/>
      <c r="DO26" s="259"/>
      <c r="DP26" s="259"/>
      <c r="DQ26" s="259"/>
      <c r="DR26" s="259"/>
      <c r="DS26" s="259"/>
      <c r="DT26" s="259"/>
      <c r="DU26" s="259"/>
      <c r="DV26" s="259"/>
      <c r="DW26" s="259"/>
      <c r="DX26" s="259"/>
      <c r="DY26" s="259"/>
      <c r="DZ26" s="259"/>
      <c r="EA26" s="259"/>
      <c r="EB26" s="259"/>
      <c r="EC26" s="259"/>
      <c r="ED26" s="259"/>
      <c r="EE26" s="259"/>
      <c r="EF26" s="259"/>
      <c r="EG26" s="259"/>
      <c r="EH26" s="259"/>
      <c r="EI26" s="259"/>
      <c r="EJ26" s="259"/>
      <c r="EK26" s="259"/>
      <c r="EL26" s="259"/>
      <c r="EM26" s="259"/>
      <c r="EN26" s="259"/>
      <c r="EO26" s="259"/>
      <c r="EP26" s="259"/>
      <c r="EQ26" s="259"/>
      <c r="ER26" s="259"/>
      <c r="ES26" s="259"/>
      <c r="ET26" s="259"/>
      <c r="EU26" s="259"/>
      <c r="EV26" s="259"/>
      <c r="EW26" s="259"/>
      <c r="EX26" s="259"/>
      <c r="EY26" s="259"/>
      <c r="EZ26" s="259"/>
      <c r="FA26" s="259"/>
      <c r="FB26" s="259"/>
      <c r="FC26" s="259"/>
      <c r="FD26" s="259"/>
      <c r="FE26" s="259"/>
      <c r="FF26" s="259"/>
      <c r="FG26" s="259"/>
      <c r="FH26" s="259"/>
      <c r="FI26" s="259"/>
      <c r="FJ26" s="259"/>
      <c r="FK26" s="259"/>
      <c r="FL26" s="259"/>
      <c r="FM26" s="259"/>
      <c r="FN26" s="259"/>
      <c r="FO26" s="259"/>
      <c r="FP26" s="259"/>
      <c r="FQ26" s="259"/>
      <c r="FR26" s="259"/>
      <c r="FS26" s="259"/>
      <c r="FT26" s="259"/>
      <c r="FU26" s="259"/>
      <c r="FV26" s="259"/>
      <c r="FW26" s="259"/>
      <c r="FX26" s="259"/>
      <c r="FY26" s="259"/>
      <c r="FZ26" s="259"/>
      <c r="GA26" s="259"/>
      <c r="GB26" s="259"/>
      <c r="GC26" s="259"/>
      <c r="GD26" s="259"/>
      <c r="GE26" s="259"/>
      <c r="GF26" s="259"/>
      <c r="GG26" s="259"/>
      <c r="GH26" s="259"/>
      <c r="GI26" s="259"/>
      <c r="GJ26" s="259"/>
      <c r="GK26" s="259"/>
      <c r="GL26" s="259"/>
      <c r="GM26" s="259"/>
      <c r="GN26" s="259"/>
      <c r="GO26" s="259"/>
      <c r="GP26" s="259"/>
      <c r="GQ26" s="259"/>
      <c r="GR26" s="259"/>
      <c r="GS26" s="259"/>
      <c r="GT26" s="259"/>
      <c r="GU26" s="259"/>
      <c r="GV26" s="259"/>
      <c r="GW26" s="259"/>
      <c r="GX26" s="259"/>
      <c r="GY26" s="259"/>
      <c r="GZ26" s="259"/>
      <c r="HA26" s="259"/>
      <c r="HB26" s="259"/>
      <c r="HC26" s="259"/>
      <c r="HD26" s="259"/>
      <c r="HE26" s="259"/>
      <c r="HF26" s="259"/>
      <c r="HG26" s="259"/>
      <c r="HH26" s="259"/>
      <c r="HI26" s="259"/>
      <c r="HJ26" s="259"/>
      <c r="HK26" s="259"/>
      <c r="HL26" s="259"/>
      <c r="HM26" s="259"/>
      <c r="HN26" s="259"/>
      <c r="HO26" s="259"/>
      <c r="HP26" s="259"/>
      <c r="HQ26" s="259"/>
      <c r="HR26" s="259"/>
      <c r="HS26" s="259"/>
      <c r="HT26" s="259"/>
      <c r="HU26" s="259"/>
      <c r="HV26" s="259"/>
      <c r="HW26" s="259"/>
      <c r="HX26" s="259"/>
      <c r="HY26" s="259"/>
      <c r="HZ26" s="259"/>
      <c r="IA26" s="259"/>
      <c r="IB26" s="259"/>
      <c r="IC26" s="259"/>
      <c r="ID26" s="259"/>
      <c r="IE26" s="259"/>
      <c r="IF26" s="259"/>
      <c r="IG26" s="259"/>
      <c r="IH26" s="259"/>
      <c r="II26" s="259"/>
      <c r="IJ26" s="259"/>
      <c r="IK26" s="259"/>
      <c r="IL26" s="259"/>
      <c r="IM26" s="259"/>
      <c r="IN26" s="259"/>
      <c r="IO26" s="259"/>
      <c r="IP26" s="259"/>
      <c r="IQ26" s="259"/>
      <c r="IR26" s="259"/>
      <c r="IS26" s="259"/>
      <c r="IT26" s="259"/>
      <c r="IU26" s="259"/>
      <c r="IV26" s="259"/>
    </row>
    <row r="27" spans="1:256" s="268" customFormat="1">
      <c r="A27" s="253">
        <v>13</v>
      </c>
      <c r="B27" s="254" t="s">
        <v>393</v>
      </c>
      <c r="C27" s="255">
        <v>1</v>
      </c>
      <c r="D27" s="257">
        <f>[1]report_ไตรมาส!P170</f>
        <v>500000</v>
      </c>
      <c r="E27" s="256">
        <f>[1]report_ไตรมาส!Q170</f>
        <v>12000</v>
      </c>
      <c r="F27" s="256">
        <v>0</v>
      </c>
      <c r="G27" s="256">
        <v>0</v>
      </c>
      <c r="H27" s="256">
        <v>0</v>
      </c>
      <c r="I27" s="256">
        <f>(E27+F27)/D27*100</f>
        <v>2.4</v>
      </c>
      <c r="J27" s="257">
        <v>1</v>
      </c>
      <c r="K27" s="257">
        <v>0</v>
      </c>
      <c r="L27" s="258" t="s">
        <v>371</v>
      </c>
      <c r="M27" s="258">
        <v>1</v>
      </c>
      <c r="N27" s="258">
        <v>0</v>
      </c>
      <c r="O27" s="258" t="s">
        <v>371</v>
      </c>
      <c r="P27" s="211"/>
      <c r="Q27" s="221" t="s">
        <v>18</v>
      </c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0"/>
      <c r="BD27" s="280"/>
      <c r="BE27" s="280"/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280"/>
      <c r="BR27" s="280"/>
      <c r="BS27" s="280"/>
      <c r="BT27" s="280"/>
      <c r="BU27" s="280"/>
      <c r="BV27" s="280"/>
      <c r="BW27" s="280"/>
      <c r="BX27" s="280"/>
      <c r="BY27" s="280"/>
      <c r="BZ27" s="280"/>
      <c r="CA27" s="280"/>
      <c r="CB27" s="280"/>
      <c r="CC27" s="280"/>
      <c r="CD27" s="280"/>
      <c r="CE27" s="280"/>
      <c r="CF27" s="280"/>
      <c r="CG27" s="280"/>
      <c r="CH27" s="280"/>
      <c r="CI27" s="280"/>
      <c r="CJ27" s="280"/>
      <c r="CK27" s="280"/>
      <c r="CL27" s="280"/>
      <c r="CM27" s="280"/>
      <c r="CN27" s="280"/>
      <c r="CO27" s="280"/>
      <c r="CP27" s="280"/>
      <c r="CQ27" s="280"/>
      <c r="CR27" s="280"/>
      <c r="CS27" s="280"/>
      <c r="CT27" s="280"/>
      <c r="CU27" s="280"/>
      <c r="CV27" s="280"/>
      <c r="CW27" s="280"/>
      <c r="CX27" s="280"/>
      <c r="CY27" s="280"/>
      <c r="CZ27" s="280"/>
      <c r="DA27" s="280"/>
      <c r="DB27" s="280"/>
      <c r="DC27" s="280"/>
      <c r="DD27" s="280"/>
      <c r="DE27" s="280"/>
      <c r="DF27" s="280"/>
      <c r="DG27" s="280"/>
      <c r="DH27" s="280"/>
      <c r="DI27" s="280"/>
      <c r="DJ27" s="280"/>
      <c r="DK27" s="280"/>
      <c r="DL27" s="280"/>
      <c r="DM27" s="280"/>
      <c r="DN27" s="280"/>
      <c r="DO27" s="280"/>
      <c r="DP27" s="280"/>
      <c r="DQ27" s="280"/>
      <c r="DR27" s="280"/>
      <c r="DS27" s="280"/>
      <c r="DT27" s="280"/>
      <c r="DU27" s="280"/>
      <c r="DV27" s="280"/>
      <c r="DW27" s="280"/>
      <c r="DX27" s="280"/>
      <c r="DY27" s="280"/>
      <c r="DZ27" s="280"/>
      <c r="EA27" s="280"/>
      <c r="EB27" s="280"/>
      <c r="EC27" s="280"/>
      <c r="ED27" s="280"/>
      <c r="EE27" s="280"/>
      <c r="EF27" s="280"/>
      <c r="EG27" s="280"/>
      <c r="EH27" s="280"/>
      <c r="EI27" s="280"/>
      <c r="EJ27" s="280"/>
      <c r="EK27" s="280"/>
      <c r="EL27" s="280"/>
      <c r="EM27" s="280"/>
      <c r="EN27" s="280"/>
      <c r="EO27" s="280"/>
      <c r="EP27" s="280"/>
      <c r="EQ27" s="280"/>
      <c r="ER27" s="280"/>
      <c r="ES27" s="280"/>
      <c r="ET27" s="280"/>
      <c r="EU27" s="280"/>
      <c r="EV27" s="280"/>
      <c r="EW27" s="280"/>
      <c r="EX27" s="280"/>
      <c r="EY27" s="280"/>
      <c r="EZ27" s="280"/>
      <c r="FA27" s="280"/>
      <c r="FB27" s="280"/>
      <c r="FC27" s="280"/>
      <c r="FD27" s="280"/>
      <c r="FE27" s="280"/>
      <c r="FF27" s="280"/>
      <c r="FG27" s="280"/>
      <c r="FH27" s="280"/>
      <c r="FI27" s="280"/>
      <c r="FJ27" s="280"/>
      <c r="FK27" s="280"/>
      <c r="FL27" s="280"/>
      <c r="FM27" s="280"/>
      <c r="FN27" s="280"/>
      <c r="FO27" s="280"/>
      <c r="FP27" s="280"/>
      <c r="FQ27" s="280"/>
      <c r="FR27" s="280"/>
      <c r="FS27" s="280"/>
      <c r="FT27" s="280"/>
      <c r="FU27" s="280"/>
      <c r="FV27" s="280"/>
      <c r="FW27" s="280"/>
      <c r="FX27" s="280"/>
      <c r="FY27" s="280"/>
      <c r="FZ27" s="280"/>
      <c r="GA27" s="280"/>
      <c r="GB27" s="280"/>
      <c r="GC27" s="280"/>
      <c r="GD27" s="280"/>
      <c r="GE27" s="280"/>
      <c r="GF27" s="280"/>
      <c r="GG27" s="280"/>
      <c r="GH27" s="280"/>
      <c r="GI27" s="280"/>
      <c r="GJ27" s="280"/>
      <c r="GK27" s="280"/>
      <c r="GL27" s="280"/>
      <c r="GM27" s="280"/>
      <c r="GN27" s="280"/>
      <c r="GO27" s="280"/>
      <c r="GP27" s="280"/>
      <c r="GQ27" s="280"/>
      <c r="GR27" s="280"/>
      <c r="GS27" s="280"/>
      <c r="GT27" s="280"/>
      <c r="GU27" s="280"/>
      <c r="GV27" s="280"/>
      <c r="GW27" s="280"/>
      <c r="GX27" s="280"/>
      <c r="GY27" s="280"/>
      <c r="GZ27" s="280"/>
      <c r="HA27" s="280"/>
      <c r="HB27" s="280"/>
      <c r="HC27" s="280"/>
      <c r="HD27" s="280"/>
      <c r="HE27" s="280"/>
      <c r="HF27" s="280"/>
      <c r="HG27" s="280"/>
      <c r="HH27" s="280"/>
      <c r="HI27" s="280"/>
      <c r="HJ27" s="280"/>
      <c r="HK27" s="280"/>
      <c r="HL27" s="280"/>
      <c r="HM27" s="280"/>
      <c r="HN27" s="280"/>
      <c r="HO27" s="280"/>
      <c r="HP27" s="280"/>
      <c r="HQ27" s="280"/>
      <c r="HR27" s="280"/>
      <c r="HS27" s="280"/>
      <c r="HT27" s="280"/>
      <c r="HU27" s="280"/>
      <c r="HV27" s="280"/>
      <c r="HW27" s="280"/>
      <c r="HX27" s="280"/>
      <c r="HY27" s="280"/>
      <c r="HZ27" s="280"/>
      <c r="IA27" s="280"/>
      <c r="IB27" s="280"/>
      <c r="IC27" s="280"/>
      <c r="ID27" s="280"/>
      <c r="IE27" s="280"/>
      <c r="IF27" s="280"/>
      <c r="IG27" s="280"/>
      <c r="IH27" s="280"/>
      <c r="II27" s="280"/>
      <c r="IJ27" s="280"/>
      <c r="IK27" s="280"/>
      <c r="IL27" s="280"/>
      <c r="IM27" s="280"/>
      <c r="IN27" s="280"/>
      <c r="IO27" s="280"/>
      <c r="IP27" s="280"/>
      <c r="IQ27" s="280"/>
      <c r="IR27" s="280"/>
      <c r="IS27" s="280"/>
      <c r="IT27" s="280"/>
      <c r="IU27" s="280"/>
      <c r="IV27" s="280"/>
    </row>
    <row r="28" spans="1:256" s="268" customFormat="1">
      <c r="A28" s="253">
        <v>14</v>
      </c>
      <c r="B28" s="267" t="s">
        <v>394</v>
      </c>
      <c r="C28" s="227">
        <v>1</v>
      </c>
      <c r="D28" s="266">
        <f>[1]report_ไตรมาส!P171</f>
        <v>80000</v>
      </c>
      <c r="E28" s="226" t="e">
        <f>[2]รายงานการดำเนินงาน!Q207+[2]รายงานการดำเนินงาน!Q208+[2]รายงานการดำเนินงาน!Q210+[2]รายงานการดำเนินงาน!Q211</f>
        <v>#REF!</v>
      </c>
      <c r="F28" s="226" t="e">
        <f>[2]รายงานการดำเนินงาน!R207+[2]รายงานการดำเนินงาน!R208+[2]รายงานการดำเนินงาน!R210</f>
        <v>#REF!</v>
      </c>
      <c r="G28" s="226">
        <v>0</v>
      </c>
      <c r="H28" s="226">
        <v>0</v>
      </c>
      <c r="I28" s="226" t="e">
        <f>(E28+F28+G28)/D28*100</f>
        <v>#REF!</v>
      </c>
      <c r="J28" s="266">
        <v>1</v>
      </c>
      <c r="K28" s="266">
        <v>0</v>
      </c>
      <c r="L28" s="262" t="s">
        <v>371</v>
      </c>
      <c r="M28" s="262">
        <v>1</v>
      </c>
      <c r="N28" s="262">
        <v>0</v>
      </c>
      <c r="O28" s="262" t="s">
        <v>371</v>
      </c>
      <c r="P28" s="214"/>
      <c r="Q28" s="222" t="s">
        <v>18</v>
      </c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280"/>
      <c r="AY28" s="280"/>
      <c r="AZ28" s="280"/>
      <c r="BA28" s="280"/>
      <c r="BB28" s="280"/>
      <c r="BC28" s="280"/>
      <c r="BD28" s="280"/>
      <c r="BE28" s="280"/>
      <c r="BF28" s="280"/>
      <c r="BG28" s="280"/>
      <c r="BH28" s="280"/>
      <c r="BI28" s="280"/>
      <c r="BJ28" s="280"/>
      <c r="BK28" s="280"/>
      <c r="BL28" s="280"/>
      <c r="BM28" s="280"/>
      <c r="BN28" s="280"/>
      <c r="BO28" s="280"/>
      <c r="BP28" s="280"/>
      <c r="BQ28" s="280"/>
      <c r="BR28" s="280"/>
      <c r="BS28" s="280"/>
      <c r="BT28" s="280"/>
      <c r="BU28" s="280"/>
      <c r="BV28" s="280"/>
      <c r="BW28" s="280"/>
      <c r="BX28" s="280"/>
      <c r="BY28" s="280"/>
      <c r="BZ28" s="280"/>
      <c r="CA28" s="280"/>
      <c r="CB28" s="280"/>
      <c r="CC28" s="280"/>
      <c r="CD28" s="280"/>
      <c r="CE28" s="280"/>
      <c r="CF28" s="280"/>
      <c r="CG28" s="280"/>
      <c r="CH28" s="280"/>
      <c r="CI28" s="280"/>
      <c r="CJ28" s="280"/>
      <c r="CK28" s="280"/>
      <c r="CL28" s="280"/>
      <c r="CM28" s="280"/>
      <c r="CN28" s="280"/>
      <c r="CO28" s="280"/>
      <c r="CP28" s="280"/>
      <c r="CQ28" s="280"/>
      <c r="CR28" s="280"/>
      <c r="CS28" s="280"/>
      <c r="CT28" s="280"/>
      <c r="CU28" s="280"/>
      <c r="CV28" s="280"/>
      <c r="CW28" s="280"/>
      <c r="CX28" s="280"/>
      <c r="CY28" s="280"/>
      <c r="CZ28" s="280"/>
      <c r="DA28" s="280"/>
      <c r="DB28" s="280"/>
      <c r="DC28" s="280"/>
      <c r="DD28" s="280"/>
      <c r="DE28" s="280"/>
      <c r="DF28" s="280"/>
      <c r="DG28" s="280"/>
      <c r="DH28" s="280"/>
      <c r="DI28" s="280"/>
      <c r="DJ28" s="280"/>
      <c r="DK28" s="280"/>
      <c r="DL28" s="280"/>
      <c r="DM28" s="280"/>
      <c r="DN28" s="280"/>
      <c r="DO28" s="280"/>
      <c r="DP28" s="280"/>
      <c r="DQ28" s="280"/>
      <c r="DR28" s="280"/>
      <c r="DS28" s="280"/>
      <c r="DT28" s="280"/>
      <c r="DU28" s="280"/>
      <c r="DV28" s="280"/>
      <c r="DW28" s="280"/>
      <c r="DX28" s="280"/>
      <c r="DY28" s="280"/>
      <c r="DZ28" s="280"/>
      <c r="EA28" s="280"/>
      <c r="EB28" s="280"/>
      <c r="EC28" s="280"/>
      <c r="ED28" s="280"/>
      <c r="EE28" s="280"/>
      <c r="EF28" s="280"/>
      <c r="EG28" s="280"/>
      <c r="EH28" s="280"/>
      <c r="EI28" s="280"/>
      <c r="EJ28" s="280"/>
      <c r="EK28" s="280"/>
      <c r="EL28" s="280"/>
      <c r="EM28" s="280"/>
      <c r="EN28" s="280"/>
      <c r="EO28" s="280"/>
      <c r="EP28" s="280"/>
      <c r="EQ28" s="280"/>
      <c r="ER28" s="280"/>
      <c r="ES28" s="280"/>
      <c r="ET28" s="280"/>
      <c r="EU28" s="280"/>
      <c r="EV28" s="280"/>
      <c r="EW28" s="280"/>
      <c r="EX28" s="280"/>
      <c r="EY28" s="280"/>
      <c r="EZ28" s="280"/>
      <c r="FA28" s="280"/>
      <c r="FB28" s="280"/>
      <c r="FC28" s="280"/>
      <c r="FD28" s="280"/>
      <c r="FE28" s="280"/>
      <c r="FF28" s="280"/>
      <c r="FG28" s="280"/>
      <c r="FH28" s="280"/>
      <c r="FI28" s="280"/>
      <c r="FJ28" s="280"/>
      <c r="FK28" s="280"/>
      <c r="FL28" s="280"/>
      <c r="FM28" s="280"/>
      <c r="FN28" s="280"/>
      <c r="FO28" s="280"/>
      <c r="FP28" s="280"/>
      <c r="FQ28" s="280"/>
      <c r="FR28" s="280"/>
      <c r="FS28" s="280"/>
      <c r="FT28" s="280"/>
      <c r="FU28" s="280"/>
      <c r="FV28" s="280"/>
      <c r="FW28" s="280"/>
      <c r="FX28" s="280"/>
      <c r="FY28" s="280"/>
      <c r="FZ28" s="280"/>
      <c r="GA28" s="280"/>
      <c r="GB28" s="280"/>
      <c r="GC28" s="280"/>
      <c r="GD28" s="280"/>
      <c r="GE28" s="280"/>
      <c r="GF28" s="280"/>
      <c r="GG28" s="280"/>
      <c r="GH28" s="280"/>
      <c r="GI28" s="280"/>
      <c r="GJ28" s="280"/>
      <c r="GK28" s="280"/>
      <c r="GL28" s="280"/>
      <c r="GM28" s="280"/>
      <c r="GN28" s="280"/>
      <c r="GO28" s="280"/>
      <c r="GP28" s="280"/>
      <c r="GQ28" s="280"/>
      <c r="GR28" s="280"/>
      <c r="GS28" s="280"/>
      <c r="GT28" s="280"/>
      <c r="GU28" s="280"/>
      <c r="GV28" s="280"/>
      <c r="GW28" s="280"/>
      <c r="GX28" s="280"/>
      <c r="GY28" s="280"/>
      <c r="GZ28" s="280"/>
      <c r="HA28" s="280"/>
      <c r="HB28" s="280"/>
      <c r="HC28" s="280"/>
      <c r="HD28" s="280"/>
      <c r="HE28" s="280"/>
      <c r="HF28" s="280"/>
      <c r="HG28" s="280"/>
      <c r="HH28" s="280"/>
      <c r="HI28" s="280"/>
      <c r="HJ28" s="280"/>
      <c r="HK28" s="280"/>
      <c r="HL28" s="280"/>
      <c r="HM28" s="280"/>
      <c r="HN28" s="280"/>
      <c r="HO28" s="280"/>
      <c r="HP28" s="280"/>
      <c r="HQ28" s="280"/>
      <c r="HR28" s="280"/>
      <c r="HS28" s="280"/>
      <c r="HT28" s="280"/>
      <c r="HU28" s="280"/>
      <c r="HV28" s="280"/>
      <c r="HW28" s="280"/>
      <c r="HX28" s="280"/>
      <c r="HY28" s="280"/>
      <c r="HZ28" s="280"/>
      <c r="IA28" s="280"/>
      <c r="IB28" s="280"/>
      <c r="IC28" s="280"/>
      <c r="ID28" s="280"/>
      <c r="IE28" s="280"/>
      <c r="IF28" s="280"/>
      <c r="IG28" s="280"/>
      <c r="IH28" s="280"/>
      <c r="II28" s="280"/>
      <c r="IJ28" s="280"/>
      <c r="IK28" s="280"/>
      <c r="IL28" s="280"/>
      <c r="IM28" s="280"/>
      <c r="IN28" s="280"/>
      <c r="IO28" s="280"/>
      <c r="IP28" s="280"/>
      <c r="IQ28" s="280"/>
      <c r="IR28" s="280"/>
      <c r="IS28" s="280"/>
      <c r="IT28" s="280"/>
      <c r="IU28" s="280"/>
      <c r="IV28" s="280"/>
    </row>
    <row r="29" spans="1:256" s="268" customFormat="1">
      <c r="A29" s="253">
        <v>15</v>
      </c>
      <c r="B29" s="267" t="s">
        <v>395</v>
      </c>
      <c r="C29" s="227">
        <v>1</v>
      </c>
      <c r="D29" s="266">
        <f>[1]report_ไตรมาส!P195</f>
        <v>50000</v>
      </c>
      <c r="E29" s="226"/>
      <c r="F29" s="226"/>
      <c r="G29" s="226">
        <v>0</v>
      </c>
      <c r="H29" s="226">
        <v>0</v>
      </c>
      <c r="I29" s="226"/>
      <c r="J29" s="266">
        <v>1</v>
      </c>
      <c r="K29" s="266">
        <v>0</v>
      </c>
      <c r="L29" s="262">
        <v>0</v>
      </c>
      <c r="M29" s="262">
        <v>1</v>
      </c>
      <c r="N29" s="262">
        <v>0</v>
      </c>
      <c r="O29" s="262">
        <v>0</v>
      </c>
      <c r="P29" s="214"/>
      <c r="Q29" s="222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  <c r="AY29" s="280"/>
      <c r="AZ29" s="280"/>
      <c r="BA29" s="280"/>
      <c r="BB29" s="280"/>
      <c r="BC29" s="280"/>
      <c r="BD29" s="280"/>
      <c r="BE29" s="280"/>
      <c r="BF29" s="280"/>
      <c r="BG29" s="280"/>
      <c r="BH29" s="280"/>
      <c r="BI29" s="280"/>
      <c r="BJ29" s="280"/>
      <c r="BK29" s="280"/>
      <c r="BL29" s="280"/>
      <c r="BM29" s="280"/>
      <c r="BN29" s="280"/>
      <c r="BO29" s="280"/>
      <c r="BP29" s="280"/>
      <c r="BQ29" s="280"/>
      <c r="BR29" s="280"/>
      <c r="BS29" s="280"/>
      <c r="BT29" s="280"/>
      <c r="BU29" s="280"/>
      <c r="BV29" s="280"/>
      <c r="BW29" s="280"/>
      <c r="BX29" s="280"/>
      <c r="BY29" s="280"/>
      <c r="BZ29" s="280"/>
      <c r="CA29" s="280"/>
      <c r="CB29" s="280"/>
      <c r="CC29" s="280"/>
      <c r="CD29" s="280"/>
      <c r="CE29" s="280"/>
      <c r="CF29" s="280"/>
      <c r="CG29" s="280"/>
      <c r="CH29" s="280"/>
      <c r="CI29" s="280"/>
      <c r="CJ29" s="280"/>
      <c r="CK29" s="280"/>
      <c r="CL29" s="280"/>
      <c r="CM29" s="280"/>
      <c r="CN29" s="280"/>
      <c r="CO29" s="280"/>
      <c r="CP29" s="280"/>
      <c r="CQ29" s="280"/>
      <c r="CR29" s="280"/>
      <c r="CS29" s="280"/>
      <c r="CT29" s="280"/>
      <c r="CU29" s="280"/>
      <c r="CV29" s="280"/>
      <c r="CW29" s="280"/>
      <c r="CX29" s="280"/>
      <c r="CY29" s="280"/>
      <c r="CZ29" s="280"/>
      <c r="DA29" s="280"/>
      <c r="DB29" s="280"/>
      <c r="DC29" s="280"/>
      <c r="DD29" s="280"/>
      <c r="DE29" s="280"/>
      <c r="DF29" s="280"/>
      <c r="DG29" s="280"/>
      <c r="DH29" s="280"/>
      <c r="DI29" s="280"/>
      <c r="DJ29" s="280"/>
      <c r="DK29" s="280"/>
      <c r="DL29" s="280"/>
      <c r="DM29" s="280"/>
      <c r="DN29" s="280"/>
      <c r="DO29" s="280"/>
      <c r="DP29" s="280"/>
      <c r="DQ29" s="280"/>
      <c r="DR29" s="280"/>
      <c r="DS29" s="280"/>
      <c r="DT29" s="280"/>
      <c r="DU29" s="280"/>
      <c r="DV29" s="280"/>
      <c r="DW29" s="280"/>
      <c r="DX29" s="280"/>
      <c r="DY29" s="280"/>
      <c r="DZ29" s="280"/>
      <c r="EA29" s="280"/>
      <c r="EB29" s="280"/>
      <c r="EC29" s="280"/>
      <c r="ED29" s="280"/>
      <c r="EE29" s="280"/>
      <c r="EF29" s="280"/>
      <c r="EG29" s="280"/>
      <c r="EH29" s="280"/>
      <c r="EI29" s="280"/>
      <c r="EJ29" s="280"/>
      <c r="EK29" s="280"/>
      <c r="EL29" s="280"/>
      <c r="EM29" s="280"/>
      <c r="EN29" s="280"/>
      <c r="EO29" s="280"/>
      <c r="EP29" s="280"/>
      <c r="EQ29" s="280"/>
      <c r="ER29" s="280"/>
      <c r="ES29" s="280"/>
      <c r="ET29" s="280"/>
      <c r="EU29" s="280"/>
      <c r="EV29" s="280"/>
      <c r="EW29" s="280"/>
      <c r="EX29" s="280"/>
      <c r="EY29" s="280"/>
      <c r="EZ29" s="280"/>
      <c r="FA29" s="280"/>
      <c r="FB29" s="280"/>
      <c r="FC29" s="280"/>
      <c r="FD29" s="280"/>
      <c r="FE29" s="280"/>
      <c r="FF29" s="280"/>
      <c r="FG29" s="280"/>
      <c r="FH29" s="280"/>
      <c r="FI29" s="280"/>
      <c r="FJ29" s="280"/>
      <c r="FK29" s="280"/>
      <c r="FL29" s="280"/>
      <c r="FM29" s="280"/>
      <c r="FN29" s="280"/>
      <c r="FO29" s="280"/>
      <c r="FP29" s="280"/>
      <c r="FQ29" s="280"/>
      <c r="FR29" s="280"/>
      <c r="FS29" s="280"/>
      <c r="FT29" s="280"/>
      <c r="FU29" s="280"/>
      <c r="FV29" s="280"/>
      <c r="FW29" s="280"/>
      <c r="FX29" s="280"/>
      <c r="FY29" s="280"/>
      <c r="FZ29" s="280"/>
      <c r="GA29" s="280"/>
      <c r="GB29" s="280"/>
      <c r="GC29" s="280"/>
      <c r="GD29" s="280"/>
      <c r="GE29" s="280"/>
      <c r="GF29" s="280"/>
      <c r="GG29" s="280"/>
      <c r="GH29" s="280"/>
      <c r="GI29" s="280"/>
      <c r="GJ29" s="280"/>
      <c r="GK29" s="280"/>
      <c r="GL29" s="280"/>
      <c r="GM29" s="280"/>
      <c r="GN29" s="280"/>
      <c r="GO29" s="280"/>
      <c r="GP29" s="280"/>
      <c r="GQ29" s="280"/>
      <c r="GR29" s="280"/>
      <c r="GS29" s="280"/>
      <c r="GT29" s="280"/>
      <c r="GU29" s="280"/>
      <c r="GV29" s="280"/>
      <c r="GW29" s="280"/>
      <c r="GX29" s="280"/>
      <c r="GY29" s="280"/>
      <c r="GZ29" s="280"/>
      <c r="HA29" s="280"/>
      <c r="HB29" s="280"/>
      <c r="HC29" s="280"/>
      <c r="HD29" s="280"/>
      <c r="HE29" s="280"/>
      <c r="HF29" s="280"/>
      <c r="HG29" s="280"/>
      <c r="HH29" s="280"/>
      <c r="HI29" s="280"/>
      <c r="HJ29" s="280"/>
      <c r="HK29" s="280"/>
      <c r="HL29" s="280"/>
      <c r="HM29" s="280"/>
      <c r="HN29" s="280"/>
      <c r="HO29" s="280"/>
      <c r="HP29" s="280"/>
      <c r="HQ29" s="280"/>
      <c r="HR29" s="280"/>
      <c r="HS29" s="280"/>
      <c r="HT29" s="280"/>
      <c r="HU29" s="280"/>
      <c r="HV29" s="280"/>
      <c r="HW29" s="280"/>
      <c r="HX29" s="280"/>
      <c r="HY29" s="280"/>
      <c r="HZ29" s="280"/>
      <c r="IA29" s="280"/>
      <c r="IB29" s="280"/>
      <c r="IC29" s="280"/>
      <c r="ID29" s="280"/>
      <c r="IE29" s="280"/>
      <c r="IF29" s="280"/>
      <c r="IG29" s="280"/>
      <c r="IH29" s="280"/>
      <c r="II29" s="280"/>
      <c r="IJ29" s="280"/>
      <c r="IK29" s="280"/>
      <c r="IL29" s="280"/>
      <c r="IM29" s="280"/>
      <c r="IN29" s="280"/>
      <c r="IO29" s="280"/>
      <c r="IP29" s="280"/>
      <c r="IQ29" s="280"/>
      <c r="IR29" s="280"/>
      <c r="IS29" s="280"/>
      <c r="IT29" s="280"/>
      <c r="IU29" s="280"/>
      <c r="IV29" s="280"/>
    </row>
    <row r="30" spans="1:256" s="268" customFormat="1">
      <c r="A30" s="227" t="s">
        <v>18</v>
      </c>
      <c r="B30" s="283" t="s">
        <v>396</v>
      </c>
      <c r="C30" s="227">
        <f>SUM(C8:C29)</f>
        <v>115</v>
      </c>
      <c r="D30" s="284">
        <f>SUM(D9:D29)</f>
        <v>34553900</v>
      </c>
      <c r="E30" s="284" t="e">
        <f>SUM(E9:E29)</f>
        <v>#REF!</v>
      </c>
      <c r="F30" s="284" t="e">
        <f>SUM(F9:F29)</f>
        <v>#REF!</v>
      </c>
      <c r="G30" s="227"/>
      <c r="H30" s="227"/>
      <c r="I30" s="227"/>
      <c r="J30" s="262">
        <f t="shared" ref="J30:O30" si="1">SUM(J9:J29)</f>
        <v>85</v>
      </c>
      <c r="K30" s="262">
        <f t="shared" si="1"/>
        <v>30</v>
      </c>
      <c r="L30" s="262">
        <f t="shared" si="1"/>
        <v>14</v>
      </c>
      <c r="M30" s="262">
        <f t="shared" si="1"/>
        <v>62</v>
      </c>
      <c r="N30" s="262">
        <f t="shared" si="1"/>
        <v>6</v>
      </c>
      <c r="O30" s="262">
        <f t="shared" si="1"/>
        <v>3</v>
      </c>
      <c r="P30" s="214"/>
      <c r="Q30" s="228" t="s">
        <v>18</v>
      </c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  <c r="BB30" s="259"/>
      <c r="BC30" s="259"/>
      <c r="BD30" s="259"/>
      <c r="BE30" s="259"/>
      <c r="BF30" s="259"/>
      <c r="BG30" s="259"/>
      <c r="BH30" s="259"/>
      <c r="BI30" s="259"/>
      <c r="BJ30" s="259"/>
      <c r="BK30" s="259"/>
      <c r="BL30" s="259"/>
      <c r="BM30" s="259"/>
      <c r="BN30" s="259"/>
      <c r="BO30" s="259"/>
      <c r="BP30" s="259"/>
      <c r="BQ30" s="259"/>
      <c r="BR30" s="259"/>
      <c r="BS30" s="259"/>
      <c r="BT30" s="259"/>
      <c r="BU30" s="259"/>
      <c r="BV30" s="259"/>
      <c r="BW30" s="259"/>
      <c r="BX30" s="259"/>
      <c r="BY30" s="259"/>
      <c r="BZ30" s="259"/>
      <c r="CA30" s="259"/>
      <c r="CB30" s="259"/>
      <c r="CC30" s="259"/>
      <c r="CD30" s="259"/>
      <c r="CE30" s="259"/>
      <c r="CF30" s="259"/>
      <c r="CG30" s="259"/>
      <c r="CH30" s="259"/>
      <c r="CI30" s="259"/>
      <c r="CJ30" s="259"/>
      <c r="CK30" s="259"/>
      <c r="CL30" s="259"/>
      <c r="CM30" s="259"/>
      <c r="CN30" s="259"/>
      <c r="CO30" s="259"/>
      <c r="CP30" s="259"/>
      <c r="CQ30" s="259"/>
      <c r="CR30" s="259"/>
      <c r="CS30" s="259"/>
      <c r="CT30" s="259"/>
      <c r="CU30" s="259"/>
      <c r="CV30" s="259"/>
      <c r="CW30" s="259"/>
      <c r="CX30" s="259"/>
      <c r="CY30" s="259"/>
      <c r="CZ30" s="259"/>
      <c r="DA30" s="259"/>
      <c r="DB30" s="259"/>
      <c r="DC30" s="259"/>
      <c r="DD30" s="259"/>
      <c r="DE30" s="259"/>
      <c r="DF30" s="259"/>
      <c r="DG30" s="259"/>
      <c r="DH30" s="259"/>
      <c r="DI30" s="259"/>
      <c r="DJ30" s="259"/>
      <c r="DK30" s="259"/>
      <c r="DL30" s="259"/>
      <c r="DM30" s="259"/>
      <c r="DN30" s="259"/>
      <c r="DO30" s="259"/>
      <c r="DP30" s="259"/>
      <c r="DQ30" s="259"/>
      <c r="DR30" s="259"/>
      <c r="DS30" s="259"/>
      <c r="DT30" s="259"/>
      <c r="DU30" s="259"/>
      <c r="DV30" s="259"/>
      <c r="DW30" s="259"/>
      <c r="DX30" s="259"/>
      <c r="DY30" s="259"/>
      <c r="DZ30" s="259"/>
      <c r="EA30" s="259"/>
      <c r="EB30" s="259"/>
      <c r="EC30" s="259"/>
      <c r="ED30" s="259"/>
      <c r="EE30" s="259"/>
      <c r="EF30" s="259"/>
      <c r="EG30" s="259"/>
      <c r="EH30" s="259"/>
      <c r="EI30" s="259"/>
      <c r="EJ30" s="259"/>
      <c r="EK30" s="259"/>
      <c r="EL30" s="259"/>
      <c r="EM30" s="259"/>
      <c r="EN30" s="259"/>
      <c r="EO30" s="259"/>
      <c r="EP30" s="259"/>
      <c r="EQ30" s="259"/>
      <c r="ER30" s="259"/>
      <c r="ES30" s="259"/>
      <c r="ET30" s="259"/>
      <c r="EU30" s="259"/>
      <c r="EV30" s="259"/>
      <c r="EW30" s="259"/>
      <c r="EX30" s="259"/>
      <c r="EY30" s="259"/>
      <c r="EZ30" s="259"/>
      <c r="FA30" s="259"/>
      <c r="FB30" s="259"/>
      <c r="FC30" s="259"/>
      <c r="FD30" s="259"/>
      <c r="FE30" s="259"/>
      <c r="FF30" s="259"/>
      <c r="FG30" s="259"/>
      <c r="FH30" s="259"/>
      <c r="FI30" s="259"/>
      <c r="FJ30" s="259"/>
      <c r="FK30" s="259"/>
      <c r="FL30" s="259"/>
      <c r="FM30" s="259"/>
      <c r="FN30" s="259"/>
      <c r="FO30" s="259"/>
      <c r="FP30" s="259"/>
      <c r="FQ30" s="259"/>
      <c r="FR30" s="259"/>
      <c r="FS30" s="259"/>
      <c r="FT30" s="259"/>
      <c r="FU30" s="259"/>
      <c r="FV30" s="259"/>
      <c r="FW30" s="259"/>
      <c r="FX30" s="259"/>
      <c r="FY30" s="259"/>
      <c r="FZ30" s="259"/>
      <c r="GA30" s="259"/>
      <c r="GB30" s="259"/>
      <c r="GC30" s="259"/>
      <c r="GD30" s="259"/>
      <c r="GE30" s="259"/>
      <c r="GF30" s="259"/>
      <c r="GG30" s="259"/>
      <c r="GH30" s="259"/>
      <c r="GI30" s="259"/>
      <c r="GJ30" s="259"/>
      <c r="GK30" s="259"/>
      <c r="GL30" s="259"/>
      <c r="GM30" s="259"/>
      <c r="GN30" s="259"/>
      <c r="GO30" s="259"/>
      <c r="GP30" s="259"/>
      <c r="GQ30" s="259"/>
      <c r="GR30" s="259"/>
      <c r="GS30" s="259"/>
      <c r="GT30" s="259"/>
      <c r="GU30" s="259"/>
      <c r="GV30" s="259"/>
      <c r="GW30" s="259"/>
      <c r="GX30" s="259"/>
      <c r="GY30" s="259"/>
      <c r="GZ30" s="259"/>
      <c r="HA30" s="259"/>
      <c r="HB30" s="259"/>
      <c r="HC30" s="259"/>
      <c r="HD30" s="259"/>
      <c r="HE30" s="259"/>
      <c r="HF30" s="259"/>
      <c r="HG30" s="259"/>
      <c r="HH30" s="259"/>
      <c r="HI30" s="259"/>
      <c r="HJ30" s="259"/>
      <c r="HK30" s="259"/>
      <c r="HL30" s="259"/>
      <c r="HM30" s="259"/>
      <c r="HN30" s="259"/>
      <c r="HO30" s="259"/>
      <c r="HP30" s="259"/>
      <c r="HQ30" s="259"/>
      <c r="HR30" s="259"/>
      <c r="HS30" s="259"/>
      <c r="HT30" s="259"/>
      <c r="HU30" s="259"/>
      <c r="HV30" s="259"/>
      <c r="HW30" s="259"/>
      <c r="HX30" s="259"/>
      <c r="HY30" s="259"/>
      <c r="HZ30" s="259"/>
      <c r="IA30" s="259"/>
      <c r="IB30" s="259"/>
      <c r="IC30" s="259"/>
      <c r="ID30" s="259"/>
      <c r="IE30" s="259"/>
      <c r="IF30" s="259"/>
      <c r="IG30" s="259"/>
      <c r="IH30" s="259"/>
      <c r="II30" s="259"/>
      <c r="IJ30" s="259"/>
      <c r="IK30" s="259"/>
      <c r="IL30" s="259"/>
      <c r="IM30" s="259"/>
      <c r="IN30" s="259"/>
      <c r="IO30" s="259"/>
      <c r="IP30" s="259"/>
      <c r="IQ30" s="259"/>
      <c r="IR30" s="259"/>
      <c r="IS30" s="259"/>
      <c r="IT30" s="259"/>
      <c r="IU30" s="259"/>
      <c r="IV30" s="259"/>
    </row>
    <row r="31" spans="1:256" s="268" customFormat="1" ht="26.25" thickBot="1">
      <c r="A31" s="285"/>
      <c r="B31" s="285"/>
      <c r="C31" s="285" t="s">
        <v>18</v>
      </c>
      <c r="D31" s="229" t="s">
        <v>397</v>
      </c>
      <c r="E31" s="286" t="e">
        <f>E30/D30*100</f>
        <v>#REF!</v>
      </c>
      <c r="F31" s="286" t="e">
        <f>(E30+F30)/D30*100</f>
        <v>#REF!</v>
      </c>
      <c r="G31" s="286">
        <f>SUM(G9:G30)</f>
        <v>0</v>
      </c>
      <c r="H31" s="286">
        <f>SUM(H9:H30)</f>
        <v>0</v>
      </c>
      <c r="I31" s="229"/>
      <c r="J31" s="287">
        <f>J30/C30*100</f>
        <v>73.91304347826086</v>
      </c>
      <c r="K31" s="288">
        <f>K30/C30*100</f>
        <v>26.086956521739129</v>
      </c>
      <c r="L31" s="289">
        <f>L30/J30*100</f>
        <v>16.470588235294116</v>
      </c>
      <c r="M31" s="289">
        <f>M30/J30*100</f>
        <v>72.941176470588232</v>
      </c>
      <c r="N31" s="289">
        <f>N30/J30*100</f>
        <v>7.0588235294117645</v>
      </c>
      <c r="O31" s="289">
        <f>O30/J30*100</f>
        <v>3.5294117647058822</v>
      </c>
      <c r="P31" s="290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5"/>
      <c r="AN31" s="285"/>
      <c r="AO31" s="285"/>
      <c r="AP31" s="285"/>
      <c r="AQ31" s="285"/>
      <c r="AR31" s="285"/>
      <c r="AS31" s="285"/>
      <c r="AT31" s="285"/>
      <c r="AU31" s="285"/>
      <c r="AV31" s="285"/>
      <c r="AW31" s="285"/>
      <c r="AX31" s="285"/>
      <c r="AY31" s="285"/>
      <c r="AZ31" s="285"/>
      <c r="BA31" s="285"/>
      <c r="BB31" s="285"/>
      <c r="BC31" s="285"/>
      <c r="BD31" s="285"/>
      <c r="BE31" s="285"/>
      <c r="BF31" s="285"/>
      <c r="BG31" s="285"/>
      <c r="BH31" s="285"/>
      <c r="BI31" s="285"/>
      <c r="BJ31" s="285"/>
      <c r="BK31" s="285"/>
      <c r="BL31" s="285"/>
      <c r="BM31" s="285"/>
      <c r="BN31" s="285"/>
      <c r="BO31" s="285"/>
      <c r="BP31" s="285"/>
      <c r="BQ31" s="285"/>
      <c r="BR31" s="285"/>
      <c r="BS31" s="285"/>
      <c r="BT31" s="285"/>
      <c r="BU31" s="285"/>
      <c r="BV31" s="285"/>
      <c r="BW31" s="285"/>
      <c r="BX31" s="285"/>
      <c r="BY31" s="285"/>
      <c r="BZ31" s="285"/>
      <c r="CA31" s="285"/>
      <c r="CB31" s="285"/>
      <c r="CC31" s="285"/>
      <c r="CD31" s="285"/>
      <c r="CE31" s="285"/>
      <c r="CF31" s="285"/>
      <c r="CG31" s="285"/>
      <c r="CH31" s="285"/>
      <c r="CI31" s="285"/>
      <c r="CJ31" s="285"/>
      <c r="CK31" s="285"/>
      <c r="CL31" s="285"/>
      <c r="CM31" s="285"/>
      <c r="CN31" s="285"/>
      <c r="CO31" s="285"/>
      <c r="CP31" s="285"/>
      <c r="CQ31" s="285"/>
      <c r="CR31" s="285"/>
      <c r="CS31" s="285"/>
      <c r="CT31" s="285"/>
      <c r="CU31" s="285"/>
      <c r="CV31" s="285"/>
      <c r="CW31" s="285"/>
      <c r="CX31" s="285"/>
      <c r="CY31" s="285"/>
      <c r="CZ31" s="285"/>
      <c r="DA31" s="285"/>
      <c r="DB31" s="285"/>
      <c r="DC31" s="285"/>
      <c r="DD31" s="285"/>
      <c r="DE31" s="285"/>
      <c r="DF31" s="285"/>
      <c r="DG31" s="285"/>
      <c r="DH31" s="285"/>
      <c r="DI31" s="285"/>
      <c r="DJ31" s="285"/>
      <c r="DK31" s="285"/>
      <c r="DL31" s="285"/>
      <c r="DM31" s="285"/>
      <c r="DN31" s="285"/>
      <c r="DO31" s="285"/>
      <c r="DP31" s="285"/>
      <c r="DQ31" s="285"/>
      <c r="DR31" s="285"/>
      <c r="DS31" s="285"/>
      <c r="DT31" s="285"/>
      <c r="DU31" s="285"/>
      <c r="DV31" s="285"/>
      <c r="DW31" s="285"/>
      <c r="DX31" s="285"/>
      <c r="DY31" s="285"/>
      <c r="DZ31" s="285"/>
      <c r="EA31" s="285"/>
      <c r="EB31" s="285"/>
      <c r="EC31" s="285"/>
      <c r="ED31" s="285"/>
      <c r="EE31" s="285"/>
      <c r="EF31" s="285"/>
      <c r="EG31" s="285"/>
      <c r="EH31" s="285"/>
      <c r="EI31" s="285"/>
      <c r="EJ31" s="285"/>
      <c r="EK31" s="285"/>
      <c r="EL31" s="285"/>
      <c r="EM31" s="285"/>
      <c r="EN31" s="285"/>
      <c r="EO31" s="285"/>
      <c r="EP31" s="285"/>
      <c r="EQ31" s="285"/>
      <c r="ER31" s="285"/>
      <c r="ES31" s="285"/>
      <c r="ET31" s="285"/>
      <c r="EU31" s="285"/>
      <c r="EV31" s="285"/>
      <c r="EW31" s="285"/>
      <c r="EX31" s="285"/>
      <c r="EY31" s="285"/>
      <c r="EZ31" s="285"/>
      <c r="FA31" s="285"/>
      <c r="FB31" s="285"/>
      <c r="FC31" s="285"/>
      <c r="FD31" s="285"/>
      <c r="FE31" s="285"/>
      <c r="FF31" s="285"/>
      <c r="FG31" s="285"/>
      <c r="FH31" s="285"/>
      <c r="FI31" s="285"/>
      <c r="FJ31" s="285"/>
      <c r="FK31" s="285"/>
      <c r="FL31" s="285"/>
      <c r="FM31" s="285"/>
      <c r="FN31" s="285"/>
      <c r="FO31" s="285"/>
      <c r="FP31" s="285"/>
      <c r="FQ31" s="285"/>
      <c r="FR31" s="285"/>
      <c r="FS31" s="285"/>
      <c r="FT31" s="285"/>
      <c r="FU31" s="285"/>
      <c r="FV31" s="285"/>
      <c r="FW31" s="285"/>
      <c r="FX31" s="285"/>
      <c r="FY31" s="285"/>
      <c r="FZ31" s="285"/>
      <c r="GA31" s="285"/>
      <c r="GB31" s="285"/>
      <c r="GC31" s="285"/>
      <c r="GD31" s="285"/>
      <c r="GE31" s="285"/>
      <c r="GF31" s="285"/>
      <c r="GG31" s="285"/>
      <c r="GH31" s="285"/>
      <c r="GI31" s="285"/>
      <c r="GJ31" s="285"/>
      <c r="GK31" s="285"/>
      <c r="GL31" s="285"/>
      <c r="GM31" s="285"/>
      <c r="GN31" s="285"/>
      <c r="GO31" s="285"/>
      <c r="GP31" s="285"/>
      <c r="GQ31" s="285"/>
      <c r="GR31" s="285"/>
      <c r="GS31" s="285"/>
      <c r="GT31" s="285"/>
      <c r="GU31" s="285"/>
      <c r="GV31" s="285"/>
      <c r="GW31" s="285"/>
      <c r="GX31" s="285"/>
      <c r="GY31" s="285"/>
      <c r="GZ31" s="285"/>
      <c r="HA31" s="285"/>
      <c r="HB31" s="285"/>
      <c r="HC31" s="285"/>
      <c r="HD31" s="285"/>
      <c r="HE31" s="285"/>
      <c r="HF31" s="285"/>
      <c r="HG31" s="285"/>
      <c r="HH31" s="285"/>
      <c r="HI31" s="285"/>
      <c r="HJ31" s="285"/>
      <c r="HK31" s="285"/>
      <c r="HL31" s="285"/>
      <c r="HM31" s="285"/>
      <c r="HN31" s="285"/>
      <c r="HO31" s="285"/>
      <c r="HP31" s="285"/>
      <c r="HQ31" s="285"/>
      <c r="HR31" s="285"/>
      <c r="HS31" s="285"/>
      <c r="HT31" s="285"/>
      <c r="HU31" s="285"/>
      <c r="HV31" s="285"/>
      <c r="HW31" s="285"/>
      <c r="HX31" s="285"/>
      <c r="HY31" s="285"/>
      <c r="HZ31" s="285"/>
      <c r="IA31" s="285"/>
      <c r="IB31" s="285"/>
      <c r="IC31" s="285"/>
      <c r="ID31" s="285"/>
      <c r="IE31" s="285"/>
      <c r="IF31" s="285"/>
      <c r="IG31" s="285"/>
      <c r="IH31" s="285"/>
      <c r="II31" s="285"/>
      <c r="IJ31" s="285"/>
      <c r="IK31" s="285"/>
      <c r="IL31" s="285"/>
      <c r="IM31" s="285"/>
      <c r="IN31" s="285"/>
      <c r="IO31" s="285"/>
      <c r="IP31" s="285"/>
      <c r="IQ31" s="285"/>
      <c r="IR31" s="285"/>
      <c r="IS31" s="285"/>
      <c r="IT31" s="285"/>
      <c r="IU31" s="285"/>
      <c r="IV31" s="285"/>
    </row>
    <row r="32" spans="1:256" s="241" customFormat="1" ht="24" thickTop="1">
      <c r="A32" s="291"/>
      <c r="C32" s="291"/>
      <c r="D32" s="292"/>
      <c r="E32" s="292"/>
      <c r="F32" s="292"/>
      <c r="G32" s="293" t="e">
        <f>E30+F30</f>
        <v>#REF!</v>
      </c>
      <c r="H32" s="292"/>
      <c r="I32" s="292"/>
      <c r="J32" s="292" t="s">
        <v>18</v>
      </c>
      <c r="K32" s="292"/>
      <c r="L32" s="294"/>
      <c r="M32" s="295"/>
      <c r="N32" s="296"/>
      <c r="O32" s="295"/>
      <c r="P32" s="296"/>
    </row>
    <row r="33" spans="1:256" s="302" customFormat="1">
      <c r="A33" s="297" t="s">
        <v>18</v>
      </c>
      <c r="B33" s="298" t="s">
        <v>398</v>
      </c>
      <c r="C33" s="297"/>
      <c r="D33" s="299"/>
      <c r="E33" s="299"/>
      <c r="F33" s="299"/>
      <c r="G33" s="299"/>
      <c r="H33" s="299"/>
      <c r="I33" s="299"/>
      <c r="J33" s="299"/>
      <c r="K33" s="299"/>
      <c r="L33" s="294"/>
      <c r="M33" s="300"/>
      <c r="N33" s="301"/>
      <c r="O33" s="300" t="s">
        <v>18</v>
      </c>
      <c r="P33" s="301"/>
    </row>
    <row r="34" spans="1:256" s="241" customFormat="1">
      <c r="A34" s="291"/>
      <c r="B34" s="259" t="s">
        <v>399</v>
      </c>
      <c r="C34" s="291"/>
      <c r="D34" s="292" t="s">
        <v>400</v>
      </c>
      <c r="E34" s="292">
        <f>J31</f>
        <v>73.91304347826086</v>
      </c>
      <c r="F34" s="292"/>
      <c r="G34" s="292"/>
      <c r="H34" s="292"/>
      <c r="I34" s="292"/>
      <c r="J34" s="292"/>
      <c r="K34" s="292"/>
      <c r="L34" s="294"/>
      <c r="M34" s="295"/>
      <c r="N34" s="296"/>
      <c r="O34" s="295"/>
      <c r="P34" s="296"/>
    </row>
    <row r="35" spans="1:256" s="259" customFormat="1">
      <c r="A35" s="303"/>
      <c r="B35" s="259" t="s">
        <v>401</v>
      </c>
      <c r="C35" s="303"/>
      <c r="D35" s="304" t="s">
        <v>400</v>
      </c>
      <c r="E35" s="304">
        <f>K31</f>
        <v>26.086956521739129</v>
      </c>
      <c r="F35" s="305" t="s">
        <v>402</v>
      </c>
      <c r="G35" s="304"/>
      <c r="H35" s="304"/>
      <c r="I35" s="304"/>
      <c r="J35" s="304"/>
      <c r="K35" s="304"/>
      <c r="L35" s="306"/>
      <c r="M35" s="307"/>
      <c r="N35" s="308"/>
      <c r="O35" s="307"/>
      <c r="P35" s="308"/>
    </row>
    <row r="36" spans="1:256" s="259" customFormat="1">
      <c r="A36" s="303"/>
      <c r="B36" s="259" t="s">
        <v>403</v>
      </c>
      <c r="C36" s="303"/>
      <c r="D36" s="304" t="s">
        <v>18</v>
      </c>
      <c r="E36" s="304"/>
      <c r="F36" s="304"/>
      <c r="G36" s="304"/>
      <c r="H36" s="304"/>
      <c r="I36" s="304"/>
      <c r="J36" s="304"/>
      <c r="K36" s="304"/>
      <c r="L36" s="306"/>
      <c r="M36" s="307"/>
      <c r="N36" s="308"/>
      <c r="O36" s="307"/>
      <c r="P36" s="308"/>
    </row>
    <row r="37" spans="1:256" s="259" customFormat="1">
      <c r="A37" s="303"/>
      <c r="B37" s="309" t="s">
        <v>404</v>
      </c>
      <c r="C37" s="303"/>
      <c r="D37" s="304" t="s">
        <v>400</v>
      </c>
      <c r="E37" s="304">
        <f>N31</f>
        <v>7.0588235294117645</v>
      </c>
      <c r="F37" s="304"/>
      <c r="G37" s="304"/>
      <c r="H37" s="304"/>
      <c r="I37" s="304"/>
      <c r="J37" s="304"/>
      <c r="K37" s="304"/>
      <c r="L37" s="306"/>
      <c r="M37" s="307"/>
      <c r="N37" s="308"/>
      <c r="O37" s="307"/>
      <c r="P37" s="308"/>
    </row>
    <row r="38" spans="1:256" s="259" customFormat="1">
      <c r="A38" s="303"/>
      <c r="B38" s="309" t="s">
        <v>405</v>
      </c>
      <c r="C38" s="303"/>
      <c r="D38" s="304" t="s">
        <v>400</v>
      </c>
      <c r="E38" s="304">
        <f>M31</f>
        <v>72.941176470588232</v>
      </c>
      <c r="F38" s="304"/>
      <c r="G38" s="304"/>
      <c r="H38" s="304"/>
      <c r="I38" s="304"/>
      <c r="J38" s="304"/>
      <c r="K38" s="304"/>
      <c r="L38" s="306"/>
      <c r="M38" s="307"/>
      <c r="N38" s="308"/>
      <c r="O38" s="307"/>
      <c r="P38" s="308"/>
    </row>
    <row r="39" spans="1:256" s="259" customFormat="1">
      <c r="A39" s="303"/>
      <c r="B39" s="309" t="s">
        <v>406</v>
      </c>
      <c r="C39" s="303"/>
      <c r="D39" s="304" t="s">
        <v>400</v>
      </c>
      <c r="E39" s="304">
        <f>L31</f>
        <v>16.470588235294116</v>
      </c>
      <c r="F39" s="304"/>
      <c r="G39" s="304"/>
      <c r="H39" s="304"/>
      <c r="I39" s="304"/>
      <c r="J39" s="304"/>
      <c r="K39" s="304"/>
      <c r="L39" s="306"/>
      <c r="M39" s="307"/>
      <c r="N39" s="308"/>
      <c r="O39" s="307"/>
      <c r="P39" s="308"/>
    </row>
    <row r="40" spans="1:256" s="259" customFormat="1">
      <c r="A40" s="303"/>
      <c r="B40" s="309" t="s">
        <v>407</v>
      </c>
      <c r="C40" s="303"/>
      <c r="D40" s="304" t="s">
        <v>400</v>
      </c>
      <c r="E40" s="304">
        <f>O31</f>
        <v>3.5294117647058822</v>
      </c>
      <c r="F40" s="304"/>
      <c r="G40" s="304"/>
      <c r="H40" s="304"/>
      <c r="I40" s="304"/>
      <c r="J40" s="304"/>
      <c r="K40" s="304"/>
      <c r="L40" s="306"/>
      <c r="M40" s="307"/>
      <c r="N40" s="308"/>
      <c r="O40" s="307"/>
      <c r="P40" s="308"/>
    </row>
    <row r="41" spans="1:256" s="259" customFormat="1">
      <c r="A41" s="303"/>
      <c r="B41" s="309"/>
      <c r="C41" s="303"/>
      <c r="D41" s="304"/>
      <c r="E41" s="304"/>
      <c r="F41" s="304"/>
      <c r="G41" s="304"/>
      <c r="H41" s="304"/>
      <c r="I41" s="304"/>
      <c r="J41" s="304"/>
      <c r="K41" s="304"/>
      <c r="L41" s="306"/>
      <c r="M41" s="307"/>
      <c r="N41" s="308"/>
      <c r="O41" s="307"/>
      <c r="P41" s="308"/>
    </row>
    <row r="42" spans="1:256" s="259" customFormat="1">
      <c r="A42" s="303"/>
      <c r="B42" s="309"/>
      <c r="C42" s="303"/>
      <c r="D42" s="304"/>
      <c r="E42" s="304"/>
      <c r="F42" s="304"/>
      <c r="G42" s="304"/>
      <c r="H42" s="304"/>
      <c r="I42" s="304"/>
      <c r="J42" s="304"/>
      <c r="K42" s="304"/>
      <c r="L42" s="306"/>
      <c r="M42" s="307"/>
      <c r="N42" s="308"/>
      <c r="O42" s="307"/>
      <c r="P42" s="308"/>
    </row>
    <row r="43" spans="1:256" s="259" customFormat="1">
      <c r="A43" s="303"/>
      <c r="B43" s="309"/>
      <c r="C43" s="303"/>
      <c r="D43" s="304"/>
      <c r="E43" s="304"/>
      <c r="F43" s="304"/>
      <c r="G43" s="304"/>
      <c r="H43" s="304"/>
      <c r="I43" s="304"/>
      <c r="J43" s="304"/>
      <c r="K43" s="304"/>
      <c r="L43" s="306"/>
      <c r="M43" s="307"/>
      <c r="N43" s="308"/>
      <c r="O43" s="307"/>
      <c r="P43" s="308"/>
    </row>
    <row r="44" spans="1:256" s="241" customFormat="1">
      <c r="A44" s="291"/>
      <c r="B44" s="259" t="s">
        <v>408</v>
      </c>
      <c r="C44" s="291"/>
      <c r="E44" s="292" t="s">
        <v>18</v>
      </c>
      <c r="F44" s="292" t="s">
        <v>18</v>
      </c>
      <c r="G44" s="241" t="s">
        <v>18</v>
      </c>
      <c r="I44" s="292"/>
      <c r="J44" s="292"/>
      <c r="K44" s="292"/>
      <c r="L44" s="294"/>
      <c r="M44" s="295"/>
      <c r="N44" s="296"/>
      <c r="O44" s="295"/>
      <c r="P44" s="296"/>
    </row>
    <row r="45" spans="1:256" s="241" customFormat="1">
      <c r="A45" s="291"/>
      <c r="B45" s="310" t="s">
        <v>409</v>
      </c>
      <c r="C45" s="291"/>
      <c r="D45" s="292" t="s">
        <v>400</v>
      </c>
      <c r="E45" s="241">
        <v>100</v>
      </c>
      <c r="F45" s="292"/>
      <c r="I45" s="292"/>
      <c r="J45" s="292"/>
      <c r="K45" s="292"/>
      <c r="L45" s="294"/>
      <c r="M45" s="295"/>
      <c r="N45" s="296"/>
      <c r="O45" s="295"/>
      <c r="P45" s="296"/>
    </row>
    <row r="46" spans="1:256" s="241" customFormat="1">
      <c r="A46" s="291"/>
      <c r="B46" s="310" t="s">
        <v>410</v>
      </c>
      <c r="C46" s="291"/>
      <c r="D46" s="241" t="s">
        <v>400</v>
      </c>
      <c r="E46" s="292">
        <v>0</v>
      </c>
      <c r="F46" s="292"/>
      <c r="I46" s="292"/>
      <c r="J46" s="292"/>
      <c r="K46" s="292"/>
      <c r="L46" s="294"/>
      <c r="M46" s="295"/>
      <c r="N46" s="296"/>
      <c r="O46" s="295"/>
      <c r="P46" s="296"/>
    </row>
    <row r="47" spans="1:256">
      <c r="B47" s="213"/>
      <c r="D47" s="231"/>
      <c r="E47" s="231"/>
      <c r="F47" s="231"/>
      <c r="G47" s="231"/>
      <c r="H47" s="231"/>
      <c r="I47" s="231"/>
      <c r="J47" s="231"/>
      <c r="K47" s="231"/>
      <c r="L47" s="232"/>
      <c r="M47" s="233"/>
      <c r="N47" s="234"/>
      <c r="O47" s="233"/>
      <c r="P47" s="234"/>
    </row>
    <row r="48" spans="1:256">
      <c r="A48" s="210" t="s">
        <v>411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  <c r="BZ48" s="210"/>
      <c r="CA48" s="210"/>
      <c r="CB48" s="210"/>
      <c r="CC48" s="210"/>
      <c r="CD48" s="210"/>
      <c r="CE48" s="210"/>
      <c r="CF48" s="210"/>
      <c r="CG48" s="210"/>
      <c r="CH48" s="210"/>
      <c r="CI48" s="210"/>
      <c r="CJ48" s="210"/>
      <c r="CK48" s="210"/>
      <c r="CL48" s="210"/>
      <c r="CM48" s="210"/>
      <c r="CN48" s="210"/>
      <c r="CO48" s="210"/>
      <c r="CP48" s="210"/>
      <c r="CQ48" s="210"/>
      <c r="CR48" s="210"/>
      <c r="CS48" s="210"/>
      <c r="CT48" s="210"/>
      <c r="CU48" s="210"/>
      <c r="CV48" s="210"/>
      <c r="CW48" s="210"/>
      <c r="CX48" s="210"/>
      <c r="CY48" s="210"/>
      <c r="CZ48" s="210"/>
      <c r="DA48" s="210"/>
      <c r="DB48" s="210"/>
      <c r="DC48" s="210"/>
      <c r="DD48" s="210"/>
      <c r="DE48" s="210"/>
      <c r="DF48" s="210"/>
      <c r="DG48" s="210"/>
      <c r="DH48" s="210"/>
      <c r="DI48" s="210"/>
      <c r="DJ48" s="210"/>
      <c r="DK48" s="210"/>
      <c r="DL48" s="210"/>
      <c r="DM48" s="210"/>
      <c r="DN48" s="210"/>
      <c r="DO48" s="210"/>
      <c r="DP48" s="210"/>
      <c r="DQ48" s="210"/>
      <c r="DR48" s="210"/>
      <c r="DS48" s="210"/>
      <c r="DT48" s="210"/>
      <c r="DU48" s="210"/>
      <c r="DV48" s="210"/>
      <c r="DW48" s="210"/>
      <c r="DX48" s="210"/>
      <c r="DY48" s="210"/>
      <c r="DZ48" s="210"/>
      <c r="EA48" s="210"/>
      <c r="EB48" s="210"/>
      <c r="EC48" s="210"/>
      <c r="ED48" s="210"/>
      <c r="EE48" s="210"/>
      <c r="EF48" s="210"/>
      <c r="EG48" s="210"/>
      <c r="EH48" s="210"/>
      <c r="EI48" s="210"/>
      <c r="EJ48" s="210"/>
      <c r="EK48" s="210"/>
      <c r="EL48" s="210"/>
      <c r="EM48" s="210"/>
      <c r="EN48" s="210"/>
      <c r="EO48" s="210"/>
      <c r="EP48" s="210"/>
      <c r="EQ48" s="210"/>
      <c r="ER48" s="210"/>
      <c r="ES48" s="210"/>
      <c r="ET48" s="210"/>
      <c r="EU48" s="210"/>
      <c r="EV48" s="210"/>
      <c r="EW48" s="210"/>
      <c r="EX48" s="210"/>
      <c r="EY48" s="210"/>
      <c r="EZ48" s="210"/>
      <c r="FA48" s="210"/>
      <c r="FB48" s="210"/>
      <c r="FC48" s="210"/>
      <c r="FD48" s="210"/>
      <c r="FE48" s="210"/>
      <c r="FF48" s="210"/>
      <c r="FG48" s="210"/>
      <c r="FH48" s="210"/>
      <c r="FI48" s="210"/>
      <c r="FJ48" s="210"/>
      <c r="FK48" s="210"/>
      <c r="FL48" s="210"/>
      <c r="FM48" s="210"/>
      <c r="FN48" s="210"/>
      <c r="FO48" s="210"/>
      <c r="FP48" s="210"/>
      <c r="FQ48" s="210"/>
      <c r="FR48" s="210"/>
      <c r="FS48" s="210"/>
      <c r="FT48" s="210"/>
      <c r="FU48" s="210"/>
      <c r="FV48" s="210"/>
      <c r="FW48" s="210"/>
      <c r="FX48" s="210"/>
      <c r="FY48" s="210"/>
      <c r="FZ48" s="210"/>
      <c r="GA48" s="210"/>
      <c r="GB48" s="210"/>
      <c r="GC48" s="210"/>
      <c r="GD48" s="210"/>
      <c r="GE48" s="210"/>
      <c r="GF48" s="210"/>
      <c r="GG48" s="210"/>
      <c r="GH48" s="210"/>
      <c r="GI48" s="210"/>
      <c r="GJ48" s="210"/>
      <c r="GK48" s="210"/>
      <c r="GL48" s="210"/>
      <c r="GM48" s="210"/>
      <c r="GN48" s="210"/>
      <c r="GO48" s="210"/>
      <c r="GP48" s="210"/>
      <c r="GQ48" s="210"/>
      <c r="GR48" s="210"/>
      <c r="GS48" s="210"/>
      <c r="GT48" s="210"/>
      <c r="GU48" s="210"/>
      <c r="GV48" s="210"/>
      <c r="GW48" s="210"/>
      <c r="GX48" s="210"/>
      <c r="GY48" s="210"/>
      <c r="GZ48" s="210"/>
      <c r="HA48" s="210"/>
      <c r="HB48" s="210"/>
      <c r="HC48" s="210"/>
      <c r="HD48" s="210"/>
      <c r="HE48" s="210"/>
      <c r="HF48" s="210"/>
      <c r="HG48" s="210"/>
      <c r="HH48" s="210"/>
      <c r="HI48" s="210"/>
      <c r="HJ48" s="210"/>
      <c r="HK48" s="210"/>
      <c r="HL48" s="210"/>
      <c r="HM48" s="210"/>
      <c r="HN48" s="210"/>
      <c r="HO48" s="210"/>
      <c r="HP48" s="210"/>
      <c r="HQ48" s="210"/>
      <c r="HR48" s="210"/>
      <c r="HS48" s="210"/>
      <c r="HT48" s="210"/>
      <c r="HU48" s="210"/>
      <c r="HV48" s="210"/>
      <c r="HW48" s="210"/>
      <c r="HX48" s="210"/>
      <c r="HY48" s="210"/>
      <c r="HZ48" s="210"/>
      <c r="IA48" s="210"/>
      <c r="IB48" s="210"/>
      <c r="IC48" s="210"/>
      <c r="ID48" s="210"/>
      <c r="IE48" s="210"/>
      <c r="IF48" s="210"/>
      <c r="IG48" s="210"/>
      <c r="IH48" s="210"/>
      <c r="II48" s="210"/>
      <c r="IJ48" s="210"/>
      <c r="IK48" s="210"/>
      <c r="IL48" s="210"/>
      <c r="IM48" s="210"/>
      <c r="IN48" s="210"/>
      <c r="IO48" s="210"/>
      <c r="IP48" s="210"/>
      <c r="IQ48" s="210"/>
      <c r="IR48" s="210"/>
      <c r="IS48" s="210"/>
      <c r="IT48" s="210"/>
      <c r="IU48" s="210"/>
      <c r="IV48" s="210"/>
    </row>
    <row r="49" spans="1:256">
      <c r="B49" s="237" t="s">
        <v>18</v>
      </c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</row>
    <row r="50" spans="1:256">
      <c r="B50" s="238" t="s">
        <v>412</v>
      </c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</row>
    <row r="51" spans="1:256">
      <c r="A51" s="235"/>
      <c r="B51" s="239" t="s">
        <v>18</v>
      </c>
      <c r="C51" s="235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3"/>
      <c r="BR51" s="213"/>
      <c r="BS51" s="213"/>
      <c r="BT51" s="213"/>
      <c r="BU51" s="213"/>
      <c r="BV51" s="213"/>
      <c r="BW51" s="213"/>
      <c r="BX51" s="213"/>
      <c r="BY51" s="213"/>
      <c r="BZ51" s="213"/>
      <c r="CA51" s="213"/>
      <c r="CB51" s="213"/>
      <c r="CC51" s="213"/>
      <c r="CD51" s="213"/>
      <c r="CE51" s="213"/>
      <c r="CF51" s="213"/>
      <c r="CG51" s="213"/>
      <c r="CH51" s="213"/>
      <c r="CI51" s="213"/>
      <c r="CJ51" s="213"/>
      <c r="CK51" s="213"/>
      <c r="CL51" s="213"/>
      <c r="CM51" s="213"/>
      <c r="CN51" s="213"/>
      <c r="CO51" s="213"/>
      <c r="CP51" s="213"/>
      <c r="CQ51" s="213"/>
      <c r="CR51" s="213"/>
      <c r="CS51" s="213"/>
      <c r="CT51" s="213"/>
      <c r="CU51" s="213"/>
      <c r="CV51" s="213"/>
      <c r="CW51" s="213"/>
      <c r="CX51" s="213"/>
      <c r="CY51" s="213"/>
      <c r="CZ51" s="213"/>
      <c r="DA51" s="213"/>
      <c r="DB51" s="213"/>
      <c r="DC51" s="213"/>
      <c r="DD51" s="213"/>
      <c r="DE51" s="213"/>
      <c r="DF51" s="213"/>
      <c r="DG51" s="213"/>
      <c r="DH51" s="213"/>
      <c r="DI51" s="213"/>
      <c r="DJ51" s="213"/>
      <c r="DK51" s="213"/>
      <c r="DL51" s="213"/>
      <c r="DM51" s="213"/>
      <c r="DN51" s="213"/>
      <c r="DO51" s="213"/>
      <c r="DP51" s="213"/>
      <c r="DQ51" s="213"/>
      <c r="DR51" s="213"/>
      <c r="DS51" s="213"/>
      <c r="DT51" s="213"/>
      <c r="DU51" s="213"/>
      <c r="DV51" s="213"/>
      <c r="DW51" s="213"/>
      <c r="DX51" s="213"/>
      <c r="DY51" s="213"/>
      <c r="DZ51" s="213"/>
      <c r="EA51" s="213"/>
      <c r="EB51" s="213"/>
      <c r="EC51" s="213"/>
      <c r="ED51" s="213"/>
      <c r="EE51" s="213"/>
      <c r="EF51" s="213"/>
      <c r="EG51" s="213"/>
      <c r="EH51" s="213"/>
      <c r="EI51" s="213"/>
      <c r="EJ51" s="213"/>
      <c r="EK51" s="213"/>
      <c r="EL51" s="213"/>
      <c r="EM51" s="213"/>
      <c r="EN51" s="213"/>
      <c r="EO51" s="213"/>
      <c r="EP51" s="213"/>
      <c r="EQ51" s="213"/>
      <c r="ER51" s="213"/>
      <c r="ES51" s="213"/>
      <c r="ET51" s="213"/>
      <c r="EU51" s="213"/>
      <c r="EV51" s="213"/>
      <c r="EW51" s="213"/>
      <c r="EX51" s="213"/>
      <c r="EY51" s="213"/>
      <c r="EZ51" s="213"/>
      <c r="FA51" s="213"/>
      <c r="FB51" s="213"/>
      <c r="FC51" s="213"/>
      <c r="FD51" s="213"/>
      <c r="FE51" s="213"/>
      <c r="FF51" s="213"/>
      <c r="FG51" s="213"/>
      <c r="FH51" s="213"/>
      <c r="FI51" s="213"/>
      <c r="FJ51" s="213"/>
      <c r="FK51" s="213"/>
      <c r="FL51" s="213"/>
      <c r="FM51" s="213"/>
      <c r="FN51" s="213"/>
      <c r="FO51" s="213"/>
      <c r="FP51" s="213"/>
      <c r="FQ51" s="213"/>
      <c r="FR51" s="213"/>
      <c r="FS51" s="213"/>
      <c r="FT51" s="213"/>
      <c r="FU51" s="213"/>
      <c r="FV51" s="213"/>
      <c r="FW51" s="213"/>
      <c r="FX51" s="213"/>
      <c r="FY51" s="213"/>
      <c r="FZ51" s="213"/>
      <c r="GA51" s="213"/>
      <c r="GB51" s="213"/>
      <c r="GC51" s="213"/>
      <c r="GD51" s="213"/>
      <c r="GE51" s="213"/>
      <c r="GF51" s="213"/>
      <c r="GG51" s="213"/>
      <c r="GH51" s="213"/>
      <c r="GI51" s="213"/>
      <c r="GJ51" s="213"/>
      <c r="GK51" s="213"/>
      <c r="GL51" s="213"/>
      <c r="GM51" s="213"/>
      <c r="GN51" s="213"/>
      <c r="GO51" s="213"/>
      <c r="GP51" s="213"/>
      <c r="GQ51" s="213"/>
      <c r="GR51" s="213"/>
      <c r="GS51" s="213"/>
      <c r="GT51" s="213"/>
      <c r="GU51" s="213"/>
      <c r="GV51" s="213"/>
      <c r="GW51" s="213"/>
      <c r="GX51" s="213"/>
      <c r="GY51" s="213"/>
      <c r="GZ51" s="213"/>
      <c r="HA51" s="213"/>
      <c r="HB51" s="213"/>
      <c r="HC51" s="213"/>
      <c r="HD51" s="213"/>
      <c r="HE51" s="213"/>
      <c r="HF51" s="213"/>
      <c r="HG51" s="213"/>
      <c r="HH51" s="213"/>
      <c r="HI51" s="213"/>
      <c r="HJ51" s="213"/>
      <c r="HK51" s="213"/>
      <c r="HL51" s="213"/>
      <c r="HM51" s="213"/>
      <c r="HN51" s="213"/>
      <c r="HO51" s="213"/>
      <c r="HP51" s="213"/>
      <c r="HQ51" s="213"/>
      <c r="HR51" s="213"/>
      <c r="HS51" s="213"/>
      <c r="HT51" s="213"/>
      <c r="HU51" s="213"/>
      <c r="HV51" s="213"/>
      <c r="HW51" s="213"/>
      <c r="HX51" s="213"/>
      <c r="HY51" s="213"/>
      <c r="HZ51" s="213"/>
      <c r="IA51" s="213"/>
      <c r="IB51" s="213"/>
      <c r="IC51" s="213"/>
      <c r="ID51" s="213"/>
      <c r="IE51" s="213"/>
      <c r="IF51" s="213"/>
      <c r="IG51" s="213"/>
      <c r="IH51" s="213"/>
      <c r="II51" s="213"/>
      <c r="IJ51" s="213"/>
      <c r="IK51" s="213"/>
      <c r="IL51" s="213"/>
      <c r="IM51" s="213"/>
      <c r="IN51" s="213"/>
      <c r="IO51" s="213"/>
      <c r="IP51" s="213"/>
      <c r="IQ51" s="213"/>
      <c r="IR51" s="213"/>
      <c r="IS51" s="213"/>
      <c r="IT51" s="213"/>
      <c r="IU51" s="213"/>
      <c r="IV51" s="213"/>
    </row>
    <row r="52" spans="1:256">
      <c r="A52" s="235"/>
      <c r="B52" s="213" t="s">
        <v>18</v>
      </c>
      <c r="C52" s="235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13"/>
      <c r="CE52" s="213"/>
      <c r="CF52" s="213"/>
      <c r="CG52" s="213"/>
      <c r="CH52" s="213"/>
      <c r="CI52" s="213"/>
      <c r="CJ52" s="213"/>
      <c r="CK52" s="213"/>
      <c r="CL52" s="213"/>
      <c r="CM52" s="213"/>
      <c r="CN52" s="213"/>
      <c r="CO52" s="213"/>
      <c r="CP52" s="213"/>
      <c r="CQ52" s="213"/>
      <c r="CR52" s="213"/>
      <c r="CS52" s="213"/>
      <c r="CT52" s="213"/>
      <c r="CU52" s="213"/>
      <c r="CV52" s="213"/>
      <c r="CW52" s="213"/>
      <c r="CX52" s="213"/>
      <c r="CY52" s="213"/>
      <c r="CZ52" s="213"/>
      <c r="DA52" s="213"/>
      <c r="DB52" s="213"/>
      <c r="DC52" s="213"/>
      <c r="DD52" s="213"/>
      <c r="DE52" s="213"/>
      <c r="DF52" s="213"/>
      <c r="DG52" s="213"/>
      <c r="DH52" s="213"/>
      <c r="DI52" s="213"/>
      <c r="DJ52" s="213"/>
      <c r="DK52" s="213"/>
      <c r="DL52" s="213"/>
      <c r="DM52" s="213"/>
      <c r="DN52" s="213"/>
      <c r="DO52" s="213"/>
      <c r="DP52" s="213"/>
      <c r="DQ52" s="213"/>
      <c r="DR52" s="213"/>
      <c r="DS52" s="213"/>
      <c r="DT52" s="213"/>
      <c r="DU52" s="213"/>
      <c r="DV52" s="213"/>
      <c r="DW52" s="213"/>
      <c r="DX52" s="213"/>
      <c r="DY52" s="213"/>
      <c r="DZ52" s="213"/>
      <c r="EA52" s="213"/>
      <c r="EB52" s="213"/>
      <c r="EC52" s="213"/>
      <c r="ED52" s="213"/>
      <c r="EE52" s="213"/>
      <c r="EF52" s="213"/>
      <c r="EG52" s="213"/>
      <c r="EH52" s="213"/>
      <c r="EI52" s="213"/>
      <c r="EJ52" s="213"/>
      <c r="EK52" s="213"/>
      <c r="EL52" s="213"/>
      <c r="EM52" s="213"/>
      <c r="EN52" s="213"/>
      <c r="EO52" s="213"/>
      <c r="EP52" s="213"/>
      <c r="EQ52" s="213"/>
      <c r="ER52" s="213"/>
      <c r="ES52" s="213"/>
      <c r="ET52" s="213"/>
      <c r="EU52" s="213"/>
      <c r="EV52" s="213"/>
      <c r="EW52" s="213"/>
      <c r="EX52" s="213"/>
      <c r="EY52" s="213"/>
      <c r="EZ52" s="213"/>
      <c r="FA52" s="213"/>
      <c r="FB52" s="213"/>
      <c r="FC52" s="213"/>
      <c r="FD52" s="213"/>
      <c r="FE52" s="213"/>
      <c r="FF52" s="213"/>
      <c r="FG52" s="213"/>
      <c r="FH52" s="213"/>
      <c r="FI52" s="213"/>
      <c r="FJ52" s="213"/>
      <c r="FK52" s="213"/>
      <c r="FL52" s="213"/>
      <c r="FM52" s="213"/>
      <c r="FN52" s="213"/>
      <c r="FO52" s="213"/>
      <c r="FP52" s="213"/>
      <c r="FQ52" s="213"/>
      <c r="FR52" s="213"/>
      <c r="FS52" s="213"/>
      <c r="FT52" s="213"/>
      <c r="FU52" s="213"/>
      <c r="FV52" s="213"/>
      <c r="FW52" s="213"/>
      <c r="FX52" s="213"/>
      <c r="FY52" s="213"/>
      <c r="FZ52" s="213"/>
      <c r="GA52" s="213"/>
      <c r="GB52" s="213"/>
      <c r="GC52" s="213"/>
      <c r="GD52" s="213"/>
      <c r="GE52" s="213"/>
      <c r="GF52" s="213"/>
      <c r="GG52" s="213"/>
      <c r="GH52" s="213"/>
      <c r="GI52" s="213"/>
      <c r="GJ52" s="213"/>
      <c r="GK52" s="213"/>
      <c r="GL52" s="213"/>
      <c r="GM52" s="213"/>
      <c r="GN52" s="213"/>
      <c r="GO52" s="213"/>
      <c r="GP52" s="213"/>
      <c r="GQ52" s="213"/>
      <c r="GR52" s="213"/>
      <c r="GS52" s="213"/>
      <c r="GT52" s="213"/>
      <c r="GU52" s="213"/>
      <c r="GV52" s="213"/>
      <c r="GW52" s="213"/>
      <c r="GX52" s="213"/>
      <c r="GY52" s="213"/>
      <c r="GZ52" s="213"/>
      <c r="HA52" s="213"/>
      <c r="HB52" s="213"/>
      <c r="HC52" s="213"/>
      <c r="HD52" s="213"/>
      <c r="HE52" s="213"/>
      <c r="HF52" s="213"/>
      <c r="HG52" s="213"/>
      <c r="HH52" s="213"/>
      <c r="HI52" s="213"/>
      <c r="HJ52" s="213"/>
      <c r="HK52" s="213"/>
      <c r="HL52" s="213"/>
      <c r="HM52" s="213"/>
      <c r="HN52" s="213"/>
      <c r="HO52" s="213"/>
      <c r="HP52" s="213"/>
      <c r="HQ52" s="213"/>
      <c r="HR52" s="213"/>
      <c r="HS52" s="213"/>
      <c r="HT52" s="213"/>
      <c r="HU52" s="213"/>
      <c r="HV52" s="213"/>
      <c r="HW52" s="213"/>
      <c r="HX52" s="213"/>
      <c r="HY52" s="213"/>
      <c r="HZ52" s="213"/>
      <c r="IA52" s="213"/>
      <c r="IB52" s="213"/>
      <c r="IC52" s="213"/>
      <c r="ID52" s="213"/>
      <c r="IE52" s="213"/>
      <c r="IF52" s="213"/>
      <c r="IG52" s="213"/>
      <c r="IH52" s="213"/>
      <c r="II52" s="213"/>
      <c r="IJ52" s="213"/>
      <c r="IK52" s="213"/>
      <c r="IL52" s="213"/>
      <c r="IM52" s="213"/>
      <c r="IN52" s="213"/>
      <c r="IO52" s="213"/>
      <c r="IP52" s="213"/>
      <c r="IQ52" s="213"/>
      <c r="IR52" s="213"/>
      <c r="IS52" s="213"/>
      <c r="IT52" s="213"/>
      <c r="IU52" s="213"/>
      <c r="IV52" s="213"/>
    </row>
    <row r="53" spans="1:256">
      <c r="A53" s="235"/>
      <c r="B53" s="240" t="s">
        <v>413</v>
      </c>
      <c r="C53" s="235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213"/>
      <c r="BQ53" s="213"/>
      <c r="BR53" s="213"/>
      <c r="BS53" s="213"/>
      <c r="BT53" s="213"/>
      <c r="BU53" s="213"/>
      <c r="BV53" s="213"/>
      <c r="BW53" s="213"/>
      <c r="BX53" s="213"/>
      <c r="BY53" s="213"/>
      <c r="BZ53" s="213"/>
      <c r="CA53" s="213"/>
      <c r="CB53" s="213"/>
      <c r="CC53" s="213"/>
      <c r="CD53" s="213"/>
      <c r="CE53" s="213"/>
      <c r="CF53" s="213"/>
      <c r="CG53" s="213"/>
      <c r="CH53" s="213"/>
      <c r="CI53" s="213"/>
      <c r="CJ53" s="213"/>
      <c r="CK53" s="213"/>
      <c r="CL53" s="213"/>
      <c r="CM53" s="213"/>
      <c r="CN53" s="213"/>
      <c r="CO53" s="213"/>
      <c r="CP53" s="213"/>
      <c r="CQ53" s="213"/>
      <c r="CR53" s="213"/>
      <c r="CS53" s="213"/>
      <c r="CT53" s="213"/>
      <c r="CU53" s="213"/>
      <c r="CV53" s="213"/>
      <c r="CW53" s="213"/>
      <c r="CX53" s="213"/>
      <c r="CY53" s="213"/>
      <c r="CZ53" s="213"/>
      <c r="DA53" s="213"/>
      <c r="DB53" s="213"/>
      <c r="DC53" s="213"/>
      <c r="DD53" s="213"/>
      <c r="DE53" s="213"/>
      <c r="DF53" s="213"/>
      <c r="DG53" s="213"/>
      <c r="DH53" s="213"/>
      <c r="DI53" s="213"/>
      <c r="DJ53" s="213"/>
      <c r="DK53" s="213"/>
      <c r="DL53" s="213"/>
      <c r="DM53" s="213"/>
      <c r="DN53" s="213"/>
      <c r="DO53" s="213"/>
      <c r="DP53" s="213"/>
      <c r="DQ53" s="213"/>
      <c r="DR53" s="213"/>
      <c r="DS53" s="213"/>
      <c r="DT53" s="213"/>
      <c r="DU53" s="213"/>
      <c r="DV53" s="213"/>
      <c r="DW53" s="213"/>
      <c r="DX53" s="213"/>
      <c r="DY53" s="213"/>
      <c r="DZ53" s="213"/>
      <c r="EA53" s="213"/>
      <c r="EB53" s="213"/>
      <c r="EC53" s="213"/>
      <c r="ED53" s="213"/>
      <c r="EE53" s="213"/>
      <c r="EF53" s="213"/>
      <c r="EG53" s="213"/>
      <c r="EH53" s="213"/>
      <c r="EI53" s="213"/>
      <c r="EJ53" s="213"/>
      <c r="EK53" s="213"/>
      <c r="EL53" s="213"/>
      <c r="EM53" s="213"/>
      <c r="EN53" s="213"/>
      <c r="EO53" s="213"/>
      <c r="EP53" s="213"/>
      <c r="EQ53" s="213"/>
      <c r="ER53" s="213"/>
      <c r="ES53" s="213"/>
      <c r="ET53" s="213"/>
      <c r="EU53" s="213"/>
      <c r="EV53" s="213"/>
      <c r="EW53" s="213"/>
      <c r="EX53" s="213"/>
      <c r="EY53" s="213"/>
      <c r="EZ53" s="213"/>
      <c r="FA53" s="213"/>
      <c r="FB53" s="213"/>
      <c r="FC53" s="213"/>
      <c r="FD53" s="213"/>
      <c r="FE53" s="213"/>
      <c r="FF53" s="213"/>
      <c r="FG53" s="213"/>
      <c r="FH53" s="213"/>
      <c r="FI53" s="213"/>
      <c r="FJ53" s="213"/>
      <c r="FK53" s="213"/>
      <c r="FL53" s="213"/>
      <c r="FM53" s="213"/>
      <c r="FN53" s="213"/>
      <c r="FO53" s="213"/>
      <c r="FP53" s="213"/>
      <c r="FQ53" s="213"/>
      <c r="FR53" s="213"/>
      <c r="FS53" s="213"/>
      <c r="FT53" s="213"/>
      <c r="FU53" s="213"/>
      <c r="FV53" s="213"/>
      <c r="FW53" s="213"/>
      <c r="FX53" s="213"/>
      <c r="FY53" s="213"/>
      <c r="FZ53" s="213"/>
      <c r="GA53" s="213"/>
      <c r="GB53" s="213"/>
      <c r="GC53" s="213"/>
      <c r="GD53" s="213"/>
      <c r="GE53" s="213"/>
      <c r="GF53" s="213"/>
      <c r="GG53" s="213"/>
      <c r="GH53" s="213"/>
      <c r="GI53" s="213"/>
      <c r="GJ53" s="213"/>
      <c r="GK53" s="213"/>
      <c r="GL53" s="213"/>
      <c r="GM53" s="213"/>
      <c r="GN53" s="213"/>
      <c r="GO53" s="213"/>
      <c r="GP53" s="213"/>
      <c r="GQ53" s="213"/>
      <c r="GR53" s="213"/>
      <c r="GS53" s="213"/>
      <c r="GT53" s="213"/>
      <c r="GU53" s="213"/>
      <c r="GV53" s="213"/>
      <c r="GW53" s="213"/>
      <c r="GX53" s="213"/>
      <c r="GY53" s="213"/>
      <c r="GZ53" s="213"/>
      <c r="HA53" s="213"/>
      <c r="HB53" s="213"/>
      <c r="HC53" s="213"/>
      <c r="HD53" s="213"/>
      <c r="HE53" s="213"/>
      <c r="HF53" s="213"/>
      <c r="HG53" s="213"/>
      <c r="HH53" s="213"/>
      <c r="HI53" s="213"/>
      <c r="HJ53" s="213"/>
      <c r="HK53" s="213"/>
      <c r="HL53" s="213"/>
      <c r="HM53" s="213"/>
      <c r="HN53" s="213"/>
      <c r="HO53" s="213"/>
      <c r="HP53" s="213"/>
      <c r="HQ53" s="213"/>
      <c r="HR53" s="213"/>
      <c r="HS53" s="213"/>
      <c r="HT53" s="213"/>
      <c r="HU53" s="213"/>
      <c r="HV53" s="213"/>
      <c r="HW53" s="213"/>
      <c r="HX53" s="213"/>
      <c r="HY53" s="213"/>
      <c r="HZ53" s="213"/>
      <c r="IA53" s="213"/>
      <c r="IB53" s="213"/>
      <c r="IC53" s="213"/>
      <c r="ID53" s="213"/>
      <c r="IE53" s="213"/>
      <c r="IF53" s="213"/>
      <c r="IG53" s="213"/>
      <c r="IH53" s="213"/>
      <c r="II53" s="213"/>
      <c r="IJ53" s="213"/>
      <c r="IK53" s="213"/>
      <c r="IL53" s="213"/>
      <c r="IM53" s="213"/>
      <c r="IN53" s="213"/>
      <c r="IO53" s="213"/>
      <c r="IP53" s="213"/>
      <c r="IQ53" s="213"/>
      <c r="IR53" s="213"/>
      <c r="IS53" s="213"/>
      <c r="IT53" s="213"/>
      <c r="IU53" s="213"/>
      <c r="IV53" s="213"/>
    </row>
    <row r="54" spans="1:256"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</row>
    <row r="55" spans="1:256">
      <c r="A55" s="235"/>
      <c r="B55" s="213" t="s">
        <v>18</v>
      </c>
      <c r="C55" s="235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  <c r="BI55" s="213"/>
      <c r="BJ55" s="213"/>
      <c r="BK55" s="213"/>
      <c r="BL55" s="213"/>
      <c r="BM55" s="213"/>
      <c r="BN55" s="213"/>
      <c r="BO55" s="213"/>
      <c r="BP55" s="213"/>
      <c r="BQ55" s="213"/>
      <c r="BR55" s="213"/>
      <c r="BS55" s="213"/>
      <c r="BT55" s="213"/>
      <c r="BU55" s="213"/>
      <c r="BV55" s="213"/>
      <c r="BW55" s="213"/>
      <c r="BX55" s="213"/>
      <c r="BY55" s="213"/>
      <c r="BZ55" s="213"/>
      <c r="CA55" s="213"/>
      <c r="CB55" s="213"/>
      <c r="CC55" s="213"/>
      <c r="CD55" s="213"/>
      <c r="CE55" s="213"/>
      <c r="CF55" s="213"/>
      <c r="CG55" s="213"/>
      <c r="CH55" s="213"/>
      <c r="CI55" s="213"/>
      <c r="CJ55" s="213"/>
      <c r="CK55" s="213"/>
      <c r="CL55" s="213"/>
      <c r="CM55" s="213"/>
      <c r="CN55" s="213"/>
      <c r="CO55" s="213"/>
      <c r="CP55" s="213"/>
      <c r="CQ55" s="213"/>
      <c r="CR55" s="213"/>
      <c r="CS55" s="213"/>
      <c r="CT55" s="213"/>
      <c r="CU55" s="213"/>
      <c r="CV55" s="213"/>
      <c r="CW55" s="213"/>
      <c r="CX55" s="213"/>
      <c r="CY55" s="213"/>
      <c r="CZ55" s="213"/>
      <c r="DA55" s="213"/>
      <c r="DB55" s="213"/>
      <c r="DC55" s="213"/>
      <c r="DD55" s="213"/>
      <c r="DE55" s="213"/>
      <c r="DF55" s="213"/>
      <c r="DG55" s="213"/>
      <c r="DH55" s="213"/>
      <c r="DI55" s="213"/>
      <c r="DJ55" s="213"/>
      <c r="DK55" s="213"/>
      <c r="DL55" s="213"/>
      <c r="DM55" s="213"/>
      <c r="DN55" s="213"/>
      <c r="DO55" s="213"/>
      <c r="DP55" s="213"/>
      <c r="DQ55" s="213"/>
      <c r="DR55" s="213"/>
      <c r="DS55" s="213"/>
      <c r="DT55" s="213"/>
      <c r="DU55" s="213"/>
      <c r="DV55" s="213"/>
      <c r="DW55" s="213"/>
      <c r="DX55" s="213"/>
      <c r="DY55" s="213"/>
      <c r="DZ55" s="213"/>
      <c r="EA55" s="213"/>
      <c r="EB55" s="213"/>
      <c r="EC55" s="213"/>
      <c r="ED55" s="213"/>
      <c r="EE55" s="213"/>
      <c r="EF55" s="213"/>
      <c r="EG55" s="213"/>
      <c r="EH55" s="213"/>
      <c r="EI55" s="213"/>
      <c r="EJ55" s="213"/>
      <c r="EK55" s="213"/>
      <c r="EL55" s="213"/>
      <c r="EM55" s="213"/>
      <c r="EN55" s="213"/>
      <c r="EO55" s="213"/>
      <c r="EP55" s="213"/>
      <c r="EQ55" s="213"/>
      <c r="ER55" s="213"/>
      <c r="ES55" s="213"/>
      <c r="ET55" s="213"/>
      <c r="EU55" s="213"/>
      <c r="EV55" s="213"/>
      <c r="EW55" s="213"/>
      <c r="EX55" s="213"/>
      <c r="EY55" s="213"/>
      <c r="EZ55" s="213"/>
      <c r="FA55" s="213"/>
      <c r="FB55" s="213"/>
      <c r="FC55" s="213"/>
      <c r="FD55" s="213"/>
      <c r="FE55" s="213"/>
      <c r="FF55" s="213"/>
      <c r="FG55" s="213"/>
      <c r="FH55" s="213"/>
      <c r="FI55" s="213"/>
      <c r="FJ55" s="213"/>
      <c r="FK55" s="213"/>
      <c r="FL55" s="213"/>
      <c r="FM55" s="213"/>
      <c r="FN55" s="213"/>
      <c r="FO55" s="213"/>
      <c r="FP55" s="213"/>
      <c r="FQ55" s="213"/>
      <c r="FR55" s="213"/>
      <c r="FS55" s="213"/>
      <c r="FT55" s="213"/>
      <c r="FU55" s="213"/>
      <c r="FV55" s="213"/>
      <c r="FW55" s="213"/>
      <c r="FX55" s="213"/>
      <c r="FY55" s="213"/>
      <c r="FZ55" s="213"/>
      <c r="GA55" s="213"/>
      <c r="GB55" s="213"/>
      <c r="GC55" s="213"/>
      <c r="GD55" s="213"/>
      <c r="GE55" s="213"/>
      <c r="GF55" s="213"/>
      <c r="GG55" s="213"/>
      <c r="GH55" s="213"/>
      <c r="GI55" s="213"/>
      <c r="GJ55" s="213"/>
      <c r="GK55" s="213"/>
      <c r="GL55" s="213"/>
      <c r="GM55" s="213"/>
      <c r="GN55" s="213"/>
      <c r="GO55" s="213"/>
      <c r="GP55" s="213"/>
      <c r="GQ55" s="213"/>
      <c r="GR55" s="213"/>
      <c r="GS55" s="213"/>
      <c r="GT55" s="213"/>
      <c r="GU55" s="213"/>
      <c r="GV55" s="213"/>
      <c r="GW55" s="213"/>
      <c r="GX55" s="213"/>
      <c r="GY55" s="213"/>
      <c r="GZ55" s="213"/>
      <c r="HA55" s="213"/>
      <c r="HB55" s="213"/>
      <c r="HC55" s="213"/>
      <c r="HD55" s="213"/>
      <c r="HE55" s="213"/>
      <c r="HF55" s="213"/>
      <c r="HG55" s="213"/>
      <c r="HH55" s="213"/>
      <c r="HI55" s="213"/>
      <c r="HJ55" s="213"/>
      <c r="HK55" s="213"/>
      <c r="HL55" s="213"/>
      <c r="HM55" s="213"/>
      <c r="HN55" s="213"/>
      <c r="HO55" s="213"/>
      <c r="HP55" s="213"/>
      <c r="HQ55" s="213"/>
      <c r="HR55" s="213"/>
      <c r="HS55" s="213"/>
      <c r="HT55" s="213"/>
      <c r="HU55" s="213"/>
      <c r="HV55" s="213"/>
      <c r="HW55" s="213"/>
      <c r="HX55" s="213"/>
      <c r="HY55" s="213"/>
      <c r="HZ55" s="213"/>
      <c r="IA55" s="213"/>
      <c r="IB55" s="213"/>
      <c r="IC55" s="213"/>
      <c r="ID55" s="213"/>
      <c r="IE55" s="213"/>
      <c r="IF55" s="213"/>
      <c r="IG55" s="213"/>
      <c r="IH55" s="213"/>
      <c r="II55" s="213"/>
      <c r="IJ55" s="213"/>
      <c r="IK55" s="213"/>
      <c r="IL55" s="213"/>
      <c r="IM55" s="213"/>
      <c r="IN55" s="213"/>
      <c r="IO55" s="213"/>
      <c r="IP55" s="213"/>
      <c r="IQ55" s="213"/>
      <c r="IR55" s="213"/>
      <c r="IS55" s="213"/>
      <c r="IT55" s="213"/>
      <c r="IU55" s="213"/>
      <c r="IV55" s="213"/>
    </row>
  </sheetData>
  <mergeCells count="15">
    <mergeCell ref="A1:Q1"/>
    <mergeCell ref="A2:Q2"/>
    <mergeCell ref="A3:Q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K5"/>
    <mergeCell ref="L5:P5"/>
    <mergeCell ref="Q5:Q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1"/>
  <sheetViews>
    <sheetView topLeftCell="A31" workbookViewId="0">
      <selection activeCell="G46" sqref="G46"/>
    </sheetView>
  </sheetViews>
  <sheetFormatPr defaultRowHeight="15"/>
  <sheetData>
    <row r="1" spans="1:1">
      <c r="A1" s="195" t="s">
        <v>306</v>
      </c>
    </row>
    <row r="2" spans="1:1">
      <c r="A2" s="196"/>
    </row>
    <row r="3" spans="1:1">
      <c r="A3" s="195" t="s">
        <v>307</v>
      </c>
    </row>
    <row r="4" spans="1:1">
      <c r="A4" s="196"/>
    </row>
    <row r="5" spans="1:1">
      <c r="A5" s="195" t="s">
        <v>308</v>
      </c>
    </row>
    <row r="6" spans="1:1">
      <c r="A6" s="196"/>
    </row>
    <row r="7" spans="1:1">
      <c r="A7" s="195" t="s">
        <v>309</v>
      </c>
    </row>
    <row r="8" spans="1:1">
      <c r="A8" s="196"/>
    </row>
    <row r="9" spans="1:1">
      <c r="A9" s="195" t="s">
        <v>310</v>
      </c>
    </row>
    <row r="10" spans="1:1">
      <c r="A10" s="196"/>
    </row>
    <row r="11" spans="1:1">
      <c r="A11" s="195" t="s">
        <v>311</v>
      </c>
    </row>
    <row r="12" spans="1:1">
      <c r="A12" s="196"/>
    </row>
    <row r="13" spans="1:1">
      <c r="A13" s="195" t="s">
        <v>312</v>
      </c>
    </row>
    <row r="14" spans="1:1">
      <c r="A14" s="196"/>
    </row>
    <row r="15" spans="1:1">
      <c r="A15" s="195" t="s">
        <v>313</v>
      </c>
    </row>
    <row r="16" spans="1:1">
      <c r="A16" s="196"/>
    </row>
    <row r="17" spans="1:1">
      <c r="A17" s="195" t="s">
        <v>314</v>
      </c>
    </row>
    <row r="18" spans="1:1">
      <c r="A18" s="196"/>
    </row>
    <row r="19" spans="1:1">
      <c r="A19" s="195" t="s">
        <v>315</v>
      </c>
    </row>
    <row r="20" spans="1:1">
      <c r="A20" s="196"/>
    </row>
    <row r="21" spans="1:1">
      <c r="A21" s="195" t="s">
        <v>316</v>
      </c>
    </row>
    <row r="22" spans="1:1">
      <c r="A22" s="196"/>
    </row>
    <row r="23" spans="1:1">
      <c r="A23" s="195" t="s">
        <v>317</v>
      </c>
    </row>
    <row r="30" spans="1:1">
      <c r="A30" s="195" t="s">
        <v>318</v>
      </c>
    </row>
    <row r="31" spans="1:1">
      <c r="A31" s="196"/>
    </row>
    <row r="32" spans="1:1">
      <c r="A32" s="195" t="s">
        <v>319</v>
      </c>
    </row>
    <row r="33" spans="1:1">
      <c r="A33" s="196"/>
    </row>
    <row r="34" spans="1:1">
      <c r="A34" s="195" t="s">
        <v>306</v>
      </c>
    </row>
    <row r="35" spans="1:1">
      <c r="A35" s="196"/>
    </row>
    <row r="36" spans="1:1">
      <c r="A36" s="195" t="s">
        <v>307</v>
      </c>
    </row>
    <row r="37" spans="1:1">
      <c r="A37" s="196"/>
    </row>
    <row r="38" spans="1:1">
      <c r="A38" s="195" t="s">
        <v>308</v>
      </c>
    </row>
    <row r="39" spans="1:1">
      <c r="A39" s="196"/>
    </row>
    <row r="40" spans="1:1">
      <c r="A40" s="195" t="s">
        <v>309</v>
      </c>
    </row>
    <row r="41" spans="1:1">
      <c r="A41" s="196"/>
    </row>
    <row r="42" spans="1:1">
      <c r="A42" s="195" t="s">
        <v>310</v>
      </c>
    </row>
    <row r="43" spans="1:1">
      <c r="A43" s="196"/>
    </row>
    <row r="44" spans="1:1">
      <c r="A44" s="195" t="s">
        <v>311</v>
      </c>
    </row>
    <row r="45" spans="1:1">
      <c r="A45" s="196"/>
    </row>
    <row r="46" spans="1:1">
      <c r="A46" s="195" t="s">
        <v>312</v>
      </c>
    </row>
    <row r="47" spans="1:1">
      <c r="A47" s="196"/>
    </row>
    <row r="48" spans="1:1">
      <c r="A48" s="195" t="s">
        <v>313</v>
      </c>
    </row>
    <row r="49" spans="1:1">
      <c r="A49" s="196"/>
    </row>
    <row r="50" spans="1:1">
      <c r="A50" s="195" t="s">
        <v>314</v>
      </c>
    </row>
    <row r="51" spans="1:1">
      <c r="A51" s="196"/>
    </row>
    <row r="52" spans="1:1">
      <c r="A52" s="195" t="s">
        <v>315</v>
      </c>
    </row>
    <row r="53" spans="1:1">
      <c r="A53" s="196"/>
    </row>
    <row r="54" spans="1:1">
      <c r="A54" s="195" t="s">
        <v>316</v>
      </c>
    </row>
    <row r="55" spans="1:1">
      <c r="A55" s="196"/>
    </row>
    <row r="56" spans="1:1">
      <c r="A56" s="195" t="s">
        <v>317</v>
      </c>
    </row>
    <row r="57" spans="1:1">
      <c r="A57" s="196"/>
    </row>
    <row r="58" spans="1:1">
      <c r="A58" s="195" t="s">
        <v>320</v>
      </c>
    </row>
    <row r="59" spans="1:1">
      <c r="A59" s="196"/>
    </row>
    <row r="60" spans="1:1">
      <c r="A60" s="196"/>
    </row>
    <row r="61" spans="1:1">
      <c r="A61" s="195" t="s">
        <v>321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Action_plan2557</vt:lpstr>
      <vt:lpstr>repor6_traimas1</vt:lpstr>
      <vt:lpstr>summary2557</vt:lpstr>
      <vt:lpstr>รายการที่ขอเพิ่มใน UBUFMIS</vt:lpstr>
      <vt:lpstr>Sheet2</vt:lpstr>
      <vt:lpstr>Sheet3</vt:lpstr>
      <vt:lpstr>Action_plan2557!Print_Titles</vt:lpstr>
      <vt:lpstr>repor6_traimas1!Print_Titles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2</dc:creator>
  <cp:lastModifiedBy>User 2</cp:lastModifiedBy>
  <cp:lastPrinted>2014-03-21T02:16:06Z</cp:lastPrinted>
  <dcterms:created xsi:type="dcterms:W3CDTF">2013-10-07T01:52:41Z</dcterms:created>
  <dcterms:modified xsi:type="dcterms:W3CDTF">2014-03-21T06:29:49Z</dcterms:modified>
</cp:coreProperties>
</file>